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drawings/drawing2.xml" ContentType="application/vnd.openxmlformats-officedocument.drawing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3.xml" ContentType="application/vnd.openxmlformats-officedocument.drawing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daybr\Desktop\MCGFILES\mcgwebdocs\"/>
    </mc:Choice>
  </mc:AlternateContent>
  <xr:revisionPtr revIDLastSave="0" documentId="8_{664067C4-54AE-4887-86E5-3A4F86921760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START" sheetId="2" r:id="rId1"/>
    <sheet name="PERSONAL BUDGET" sheetId="1" r:id="rId2"/>
    <sheet name="Jan Debt Freedom Worksheet" sheetId="3" r:id="rId3"/>
    <sheet name="FEBRUARY Debt Freedom" sheetId="4" r:id="rId4"/>
    <sheet name="MARCH Debt Freedom " sheetId="6" r:id="rId5"/>
    <sheet name="APRIL Debt Freedom" sheetId="7" r:id="rId6"/>
    <sheet name="May Debt Freedom" sheetId="8" r:id="rId7"/>
    <sheet name="JUNE Debt Freedom" sheetId="9" r:id="rId8"/>
    <sheet name="JULY Debt Freedom" sheetId="10" r:id="rId9"/>
    <sheet name="AUGUST Debt Freedom" sheetId="11" r:id="rId10"/>
    <sheet name="SEPTEMBER Debt Freedom" sheetId="12" r:id="rId11"/>
    <sheet name="OCTOBER Debt Freedom" sheetId="13" r:id="rId12"/>
    <sheet name="NOVEMBER Debt Freedom" sheetId="14" r:id="rId13"/>
    <sheet name="DECEMBER Debt Freedom" sheetId="15" r:id="rId14"/>
  </sheets>
  <definedNames>
    <definedName name="LastCol">COUNTA('PERSONAL BUDGET'!$4:$4)+1</definedName>
    <definedName name="PrintArea_SET">OFFSET('PERSONAL BUDGET'!$C$2,,,MATCH(REPT("z",255),'PERSONAL BUDGET'!$C:$C),LastCol)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" l="1"/>
  <c r="G107" i="1"/>
  <c r="G109" i="1"/>
  <c r="O9" i="1"/>
  <c r="O107" i="1"/>
  <c r="O109" i="1"/>
  <c r="C23" i="15"/>
  <c r="N9" i="1"/>
  <c r="N107" i="1"/>
  <c r="N109" i="1"/>
  <c r="C23" i="14"/>
  <c r="M9" i="1"/>
  <c r="M107" i="1"/>
  <c r="M109" i="1"/>
  <c r="C23" i="13"/>
  <c r="L9" i="1"/>
  <c r="L107" i="1"/>
  <c r="L109" i="1"/>
  <c r="C23" i="12"/>
  <c r="K9" i="1"/>
  <c r="K107" i="1"/>
  <c r="K109" i="1"/>
  <c r="C23" i="11"/>
  <c r="J9" i="1"/>
  <c r="J107" i="1"/>
  <c r="J109" i="1"/>
  <c r="C23" i="10"/>
  <c r="I9" i="1"/>
  <c r="I107" i="1"/>
  <c r="I109" i="1"/>
  <c r="C23" i="9"/>
  <c r="H9" i="1"/>
  <c r="H107" i="1"/>
  <c r="H109" i="1"/>
  <c r="C23" i="8"/>
  <c r="C23" i="7"/>
  <c r="F9" i="1"/>
  <c r="F107" i="1"/>
  <c r="F109" i="1"/>
  <c r="C23" i="6"/>
  <c r="E9" i="1"/>
  <c r="E107" i="1"/>
  <c r="E109" i="1"/>
  <c r="C23" i="4"/>
  <c r="C35" i="15"/>
  <c r="E16" i="15"/>
  <c r="C34" i="15"/>
  <c r="C37" i="15"/>
  <c r="F78" i="15"/>
  <c r="E78" i="15"/>
  <c r="D78" i="15"/>
  <c r="C78" i="15"/>
  <c r="B78" i="15"/>
  <c r="F73" i="15"/>
  <c r="E73" i="15"/>
  <c r="D73" i="15"/>
  <c r="C73" i="15"/>
  <c r="B73" i="15"/>
  <c r="C16" i="15"/>
  <c r="C30" i="15"/>
  <c r="D16" i="15"/>
  <c r="C31" i="15"/>
  <c r="C32" i="15"/>
  <c r="F24" i="15"/>
  <c r="F8" i="15"/>
  <c r="F9" i="15"/>
  <c r="F10" i="15"/>
  <c r="F11" i="15"/>
  <c r="F12" i="15"/>
  <c r="F13" i="15"/>
  <c r="F14" i="15"/>
  <c r="F15" i="15"/>
  <c r="F16" i="15"/>
  <c r="C35" i="14"/>
  <c r="E16" i="14"/>
  <c r="C34" i="14"/>
  <c r="C37" i="14"/>
  <c r="F78" i="14"/>
  <c r="E78" i="14"/>
  <c r="D78" i="14"/>
  <c r="C78" i="14"/>
  <c r="B78" i="14"/>
  <c r="F73" i="14"/>
  <c r="E73" i="14"/>
  <c r="D73" i="14"/>
  <c r="C73" i="14"/>
  <c r="B73" i="14"/>
  <c r="C16" i="14"/>
  <c r="C30" i="14"/>
  <c r="D16" i="14"/>
  <c r="C31" i="14"/>
  <c r="C32" i="14"/>
  <c r="F24" i="14"/>
  <c r="F8" i="14"/>
  <c r="F9" i="14"/>
  <c r="F10" i="14"/>
  <c r="F11" i="14"/>
  <c r="F12" i="14"/>
  <c r="F13" i="14"/>
  <c r="F14" i="14"/>
  <c r="F15" i="14"/>
  <c r="F16" i="14"/>
  <c r="C35" i="13"/>
  <c r="E16" i="13"/>
  <c r="C34" i="13"/>
  <c r="C37" i="13"/>
  <c r="F78" i="13"/>
  <c r="E78" i="13"/>
  <c r="D78" i="13"/>
  <c r="C78" i="13"/>
  <c r="B78" i="13"/>
  <c r="F73" i="13"/>
  <c r="E73" i="13"/>
  <c r="D73" i="13"/>
  <c r="C73" i="13"/>
  <c r="B73" i="13"/>
  <c r="C16" i="13"/>
  <c r="C30" i="13"/>
  <c r="D16" i="13"/>
  <c r="C31" i="13"/>
  <c r="C32" i="13"/>
  <c r="F24" i="13"/>
  <c r="F8" i="13"/>
  <c r="F9" i="13"/>
  <c r="F10" i="13"/>
  <c r="F11" i="13"/>
  <c r="F12" i="13"/>
  <c r="F13" i="13"/>
  <c r="F14" i="13"/>
  <c r="F15" i="13"/>
  <c r="F16" i="13"/>
  <c r="C35" i="12"/>
  <c r="E16" i="12"/>
  <c r="C34" i="12"/>
  <c r="C37" i="12"/>
  <c r="F78" i="12"/>
  <c r="E78" i="12"/>
  <c r="D78" i="12"/>
  <c r="C78" i="12"/>
  <c r="B78" i="12"/>
  <c r="F73" i="12"/>
  <c r="E73" i="12"/>
  <c r="D73" i="12"/>
  <c r="C73" i="12"/>
  <c r="B73" i="12"/>
  <c r="C16" i="12"/>
  <c r="C30" i="12"/>
  <c r="D16" i="12"/>
  <c r="C31" i="12"/>
  <c r="C32" i="12"/>
  <c r="F24" i="12"/>
  <c r="F8" i="12"/>
  <c r="F9" i="12"/>
  <c r="F10" i="12"/>
  <c r="F11" i="12"/>
  <c r="F12" i="12"/>
  <c r="F13" i="12"/>
  <c r="F14" i="12"/>
  <c r="F15" i="12"/>
  <c r="F16" i="12"/>
  <c r="C35" i="11"/>
  <c r="E16" i="11"/>
  <c r="C34" i="11"/>
  <c r="C37" i="11"/>
  <c r="F78" i="11"/>
  <c r="E78" i="11"/>
  <c r="D78" i="11"/>
  <c r="C78" i="11"/>
  <c r="B78" i="11"/>
  <c r="F73" i="11"/>
  <c r="E73" i="11"/>
  <c r="D73" i="11"/>
  <c r="C73" i="11"/>
  <c r="B73" i="11"/>
  <c r="C16" i="11"/>
  <c r="C30" i="11"/>
  <c r="D16" i="11"/>
  <c r="C31" i="11"/>
  <c r="C32" i="11"/>
  <c r="F24" i="11"/>
  <c r="F8" i="11"/>
  <c r="F9" i="11"/>
  <c r="F10" i="11"/>
  <c r="F11" i="11"/>
  <c r="F12" i="11"/>
  <c r="F13" i="11"/>
  <c r="F14" i="11"/>
  <c r="F15" i="11"/>
  <c r="F16" i="11"/>
  <c r="C35" i="10"/>
  <c r="E16" i="10"/>
  <c r="C34" i="10"/>
  <c r="C37" i="10"/>
  <c r="F78" i="10"/>
  <c r="E78" i="10"/>
  <c r="D78" i="10"/>
  <c r="C78" i="10"/>
  <c r="B78" i="10"/>
  <c r="F73" i="10"/>
  <c r="E73" i="10"/>
  <c r="D73" i="10"/>
  <c r="C73" i="10"/>
  <c r="B73" i="10"/>
  <c r="C16" i="10"/>
  <c r="C30" i="10"/>
  <c r="D16" i="10"/>
  <c r="C31" i="10"/>
  <c r="C32" i="10"/>
  <c r="F24" i="10"/>
  <c r="F8" i="10"/>
  <c r="F9" i="10"/>
  <c r="F10" i="10"/>
  <c r="F11" i="10"/>
  <c r="F12" i="10"/>
  <c r="F13" i="10"/>
  <c r="F14" i="10"/>
  <c r="F15" i="10"/>
  <c r="F16" i="10"/>
  <c r="C35" i="9"/>
  <c r="E16" i="9"/>
  <c r="C34" i="9"/>
  <c r="C37" i="9"/>
  <c r="F78" i="9"/>
  <c r="E78" i="9"/>
  <c r="D78" i="9"/>
  <c r="C78" i="9"/>
  <c r="B78" i="9"/>
  <c r="F73" i="9"/>
  <c r="E73" i="9"/>
  <c r="D73" i="9"/>
  <c r="C73" i="9"/>
  <c r="B73" i="9"/>
  <c r="C16" i="9"/>
  <c r="C30" i="9"/>
  <c r="C31" i="9"/>
  <c r="C32" i="9"/>
  <c r="F24" i="9"/>
  <c r="F8" i="9"/>
  <c r="F9" i="9"/>
  <c r="F10" i="9"/>
  <c r="F11" i="9"/>
  <c r="F12" i="9"/>
  <c r="F13" i="9"/>
  <c r="F14" i="9"/>
  <c r="F15" i="9"/>
  <c r="F16" i="9"/>
  <c r="C35" i="8"/>
  <c r="E16" i="8"/>
  <c r="C34" i="8"/>
  <c r="C37" i="8"/>
  <c r="F78" i="8"/>
  <c r="E78" i="8"/>
  <c r="D78" i="8"/>
  <c r="C78" i="8"/>
  <c r="B78" i="8"/>
  <c r="F73" i="8"/>
  <c r="E73" i="8"/>
  <c r="D73" i="8"/>
  <c r="C73" i="8"/>
  <c r="B73" i="8"/>
  <c r="C16" i="8"/>
  <c r="C30" i="8"/>
  <c r="D16" i="8"/>
  <c r="C31" i="8"/>
  <c r="C32" i="8"/>
  <c r="F24" i="8"/>
  <c r="F8" i="8"/>
  <c r="F9" i="8"/>
  <c r="F10" i="8"/>
  <c r="F11" i="8"/>
  <c r="F12" i="8"/>
  <c r="F13" i="8"/>
  <c r="F14" i="8"/>
  <c r="F15" i="8"/>
  <c r="F16" i="8"/>
  <c r="C35" i="7"/>
  <c r="E16" i="7"/>
  <c r="C34" i="7"/>
  <c r="C37" i="7"/>
  <c r="F78" i="7"/>
  <c r="E78" i="7"/>
  <c r="D78" i="7"/>
  <c r="C78" i="7"/>
  <c r="B78" i="7"/>
  <c r="F73" i="7"/>
  <c r="E73" i="7"/>
  <c r="D73" i="7"/>
  <c r="C73" i="7"/>
  <c r="B73" i="7"/>
  <c r="C16" i="7"/>
  <c r="C30" i="7"/>
  <c r="D16" i="7"/>
  <c r="C31" i="7"/>
  <c r="C32" i="7"/>
  <c r="F24" i="7"/>
  <c r="F8" i="7"/>
  <c r="F9" i="7"/>
  <c r="F10" i="7"/>
  <c r="F11" i="7"/>
  <c r="F12" i="7"/>
  <c r="F13" i="7"/>
  <c r="F14" i="7"/>
  <c r="F15" i="7"/>
  <c r="F16" i="7"/>
  <c r="C35" i="6"/>
  <c r="E16" i="6"/>
  <c r="C34" i="6"/>
  <c r="C37" i="6"/>
  <c r="F78" i="6"/>
  <c r="E78" i="6"/>
  <c r="D78" i="6"/>
  <c r="C78" i="6"/>
  <c r="B78" i="6"/>
  <c r="F73" i="6"/>
  <c r="E73" i="6"/>
  <c r="D73" i="6"/>
  <c r="C73" i="6"/>
  <c r="B73" i="6"/>
  <c r="C16" i="6"/>
  <c r="C30" i="6"/>
  <c r="D16" i="6"/>
  <c r="C31" i="6"/>
  <c r="C32" i="6"/>
  <c r="F24" i="6"/>
  <c r="F8" i="6"/>
  <c r="F9" i="6"/>
  <c r="F10" i="6"/>
  <c r="F11" i="6"/>
  <c r="F12" i="6"/>
  <c r="F13" i="6"/>
  <c r="F14" i="6"/>
  <c r="F15" i="6"/>
  <c r="F16" i="6"/>
  <c r="D9" i="1"/>
  <c r="D107" i="1"/>
  <c r="D109" i="1"/>
  <c r="C23" i="3"/>
  <c r="E16" i="4"/>
  <c r="C34" i="4"/>
  <c r="E78" i="4"/>
  <c r="D78" i="4"/>
  <c r="C78" i="4"/>
  <c r="B78" i="4"/>
  <c r="E73" i="4"/>
  <c r="D73" i="4"/>
  <c r="C73" i="4"/>
  <c r="B73" i="4"/>
  <c r="C16" i="4"/>
  <c r="C30" i="4"/>
  <c r="D16" i="4"/>
  <c r="C31" i="4"/>
  <c r="C32" i="4"/>
  <c r="F24" i="4"/>
  <c r="C16" i="3"/>
  <c r="F8" i="3"/>
  <c r="F9" i="3"/>
  <c r="F10" i="3"/>
  <c r="F11" i="3"/>
  <c r="F12" i="3"/>
  <c r="F13" i="3"/>
  <c r="F14" i="3"/>
  <c r="F15" i="3"/>
  <c r="F16" i="3"/>
  <c r="D16" i="3"/>
  <c r="E16" i="3"/>
  <c r="F24" i="3"/>
  <c r="C30" i="3"/>
  <c r="C31" i="3"/>
  <c r="C32" i="3"/>
  <c r="C34" i="3"/>
  <c r="C35" i="3"/>
  <c r="C37" i="3"/>
  <c r="B73" i="3"/>
  <c r="C73" i="3"/>
  <c r="D73" i="3"/>
  <c r="E73" i="3"/>
  <c r="F73" i="3"/>
  <c r="B78" i="3"/>
  <c r="C78" i="3"/>
  <c r="D78" i="3"/>
  <c r="E78" i="3"/>
  <c r="F78" i="3"/>
  <c r="D43" i="1"/>
  <c r="Q2" i="1"/>
  <c r="P17" i="1"/>
  <c r="P16" i="1"/>
  <c r="P13" i="1"/>
  <c r="P15" i="1"/>
  <c r="P14" i="1"/>
  <c r="E103" i="1"/>
  <c r="F103" i="1"/>
  <c r="G103" i="1"/>
  <c r="H103" i="1"/>
  <c r="I103" i="1"/>
  <c r="J103" i="1"/>
  <c r="K103" i="1"/>
  <c r="L103" i="1"/>
  <c r="M103" i="1"/>
  <c r="N103" i="1"/>
  <c r="O103" i="1"/>
  <c r="D103" i="1"/>
  <c r="E95" i="1"/>
  <c r="F95" i="1"/>
  <c r="G95" i="1"/>
  <c r="H95" i="1"/>
  <c r="I95" i="1"/>
  <c r="J95" i="1"/>
  <c r="K95" i="1"/>
  <c r="L95" i="1"/>
  <c r="M95" i="1"/>
  <c r="N95" i="1"/>
  <c r="O95" i="1"/>
  <c r="D95" i="1"/>
  <c r="E87" i="1"/>
  <c r="F87" i="1"/>
  <c r="G87" i="1"/>
  <c r="H87" i="1"/>
  <c r="I87" i="1"/>
  <c r="J87" i="1"/>
  <c r="K87" i="1"/>
  <c r="L87" i="1"/>
  <c r="M87" i="1"/>
  <c r="N87" i="1"/>
  <c r="O87" i="1"/>
  <c r="D87" i="1"/>
  <c r="E79" i="1"/>
  <c r="F79" i="1"/>
  <c r="G79" i="1"/>
  <c r="H79" i="1"/>
  <c r="I79" i="1"/>
  <c r="J79" i="1"/>
  <c r="K79" i="1"/>
  <c r="L79" i="1"/>
  <c r="M79" i="1"/>
  <c r="N79" i="1"/>
  <c r="O79" i="1"/>
  <c r="D79" i="1"/>
  <c r="E69" i="1"/>
  <c r="F69" i="1"/>
  <c r="G69" i="1"/>
  <c r="H69" i="1"/>
  <c r="I69" i="1"/>
  <c r="J69" i="1"/>
  <c r="K69" i="1"/>
  <c r="L69" i="1"/>
  <c r="M69" i="1"/>
  <c r="N69" i="1"/>
  <c r="O69" i="1"/>
  <c r="D69" i="1"/>
  <c r="E62" i="1"/>
  <c r="F62" i="1"/>
  <c r="G62" i="1"/>
  <c r="H62" i="1"/>
  <c r="I62" i="1"/>
  <c r="J62" i="1"/>
  <c r="K62" i="1"/>
  <c r="L62" i="1"/>
  <c r="M62" i="1"/>
  <c r="N62" i="1"/>
  <c r="O62" i="1"/>
  <c r="D62" i="1"/>
  <c r="E53" i="1"/>
  <c r="F53" i="1"/>
  <c r="G53" i="1"/>
  <c r="H53" i="1"/>
  <c r="I53" i="1"/>
  <c r="J53" i="1"/>
  <c r="K53" i="1"/>
  <c r="L53" i="1"/>
  <c r="M53" i="1"/>
  <c r="N53" i="1"/>
  <c r="O53" i="1"/>
  <c r="D53" i="1"/>
  <c r="P99" i="1"/>
  <c r="P100" i="1"/>
  <c r="P101" i="1"/>
  <c r="P102" i="1"/>
  <c r="P98" i="1"/>
  <c r="P91" i="1"/>
  <c r="P92" i="1"/>
  <c r="P93" i="1"/>
  <c r="P94" i="1"/>
  <c r="P90" i="1"/>
  <c r="P83" i="1"/>
  <c r="P84" i="1"/>
  <c r="P85" i="1"/>
  <c r="P86" i="1"/>
  <c r="P82" i="1"/>
  <c r="P73" i="1"/>
  <c r="P74" i="1"/>
  <c r="P75" i="1"/>
  <c r="P76" i="1"/>
  <c r="P77" i="1"/>
  <c r="P78" i="1"/>
  <c r="P72" i="1"/>
  <c r="P66" i="1"/>
  <c r="P67" i="1"/>
  <c r="P68" i="1"/>
  <c r="P65" i="1"/>
  <c r="P57" i="1"/>
  <c r="P58" i="1"/>
  <c r="P59" i="1"/>
  <c r="P60" i="1"/>
  <c r="P61" i="1"/>
  <c r="P56" i="1"/>
  <c r="P47" i="1"/>
  <c r="P48" i="1"/>
  <c r="P49" i="1"/>
  <c r="P50" i="1"/>
  <c r="P51" i="1"/>
  <c r="P52" i="1"/>
  <c r="P46" i="1"/>
  <c r="E43" i="1"/>
  <c r="F43" i="1"/>
  <c r="G43" i="1"/>
  <c r="H43" i="1"/>
  <c r="I43" i="1"/>
  <c r="J43" i="1"/>
  <c r="K43" i="1"/>
  <c r="L43" i="1"/>
  <c r="M43" i="1"/>
  <c r="N43" i="1"/>
  <c r="O43" i="1"/>
  <c r="P40" i="1"/>
  <c r="P41" i="1"/>
  <c r="P42" i="1"/>
  <c r="P39" i="1"/>
  <c r="E36" i="1"/>
  <c r="F36" i="1"/>
  <c r="G36" i="1"/>
  <c r="H36" i="1"/>
  <c r="I36" i="1"/>
  <c r="J36" i="1"/>
  <c r="K36" i="1"/>
  <c r="L36" i="1"/>
  <c r="M36" i="1"/>
  <c r="N36" i="1"/>
  <c r="O36" i="1"/>
  <c r="D36" i="1"/>
  <c r="P31" i="1"/>
  <c r="P32" i="1"/>
  <c r="P33" i="1"/>
  <c r="P34" i="1"/>
  <c r="P35" i="1"/>
  <c r="P30" i="1"/>
  <c r="E27" i="1"/>
  <c r="F27" i="1"/>
  <c r="G27" i="1"/>
  <c r="H27" i="1"/>
  <c r="I27" i="1"/>
  <c r="J27" i="1"/>
  <c r="K27" i="1"/>
  <c r="L27" i="1"/>
  <c r="M27" i="1"/>
  <c r="N27" i="1"/>
  <c r="O27" i="1"/>
  <c r="D27" i="1"/>
  <c r="P22" i="1"/>
  <c r="P23" i="1"/>
  <c r="P24" i="1"/>
  <c r="P25" i="1"/>
  <c r="P26" i="1"/>
  <c r="P21" i="1"/>
  <c r="E18" i="1"/>
  <c r="F18" i="1"/>
  <c r="G18" i="1"/>
  <c r="H18" i="1"/>
  <c r="I18" i="1"/>
  <c r="J18" i="1"/>
  <c r="K18" i="1"/>
  <c r="L18" i="1"/>
  <c r="M18" i="1"/>
  <c r="N18" i="1"/>
  <c r="O18" i="1"/>
  <c r="D18" i="1"/>
  <c r="P43" i="1"/>
  <c r="P95" i="1"/>
  <c r="P87" i="1"/>
  <c r="P79" i="1"/>
  <c r="P69" i="1"/>
  <c r="P62" i="1"/>
  <c r="P53" i="1"/>
  <c r="L106" i="1"/>
  <c r="P36" i="1"/>
  <c r="P27" i="1"/>
  <c r="P18" i="1"/>
  <c r="K106" i="1"/>
  <c r="J106" i="1"/>
  <c r="I106" i="1"/>
  <c r="D106" i="1"/>
  <c r="H106" i="1"/>
  <c r="O106" i="1"/>
  <c r="N106" i="1"/>
  <c r="M106" i="1"/>
  <c r="E106" i="1"/>
  <c r="G106" i="1"/>
  <c r="F106" i="1"/>
  <c r="P103" i="1"/>
  <c r="P8" i="1"/>
  <c r="P7" i="1"/>
  <c r="P6" i="1"/>
  <c r="P106" i="1"/>
  <c r="P9" i="1"/>
  <c r="P107" i="1"/>
  <c r="F8" i="4"/>
  <c r="F9" i="4"/>
  <c r="F10" i="4"/>
  <c r="F11" i="4"/>
  <c r="F12" i="4"/>
  <c r="F13" i="4"/>
  <c r="F14" i="4"/>
  <c r="F15" i="4"/>
  <c r="F16" i="4"/>
  <c r="C35" i="4"/>
  <c r="C37" i="4"/>
  <c r="F73" i="4"/>
  <c r="F78" i="4"/>
</calcChain>
</file>

<file path=xl/sharedStrings.xml><?xml version="1.0" encoding="utf-8"?>
<sst xmlns="http://schemas.openxmlformats.org/spreadsheetml/2006/main" count="978" uniqueCount="176">
  <si>
    <t>Wages</t>
  </si>
  <si>
    <t>Miscellaneous</t>
  </si>
  <si>
    <t>Utilities</t>
  </si>
  <si>
    <t xml:space="preserve">Groceries </t>
  </si>
  <si>
    <t>Child care</t>
  </si>
  <si>
    <t>Dry cleaning</t>
  </si>
  <si>
    <t>Dining out</t>
  </si>
  <si>
    <t>Housecleaning service</t>
  </si>
  <si>
    <t>Dog walker</t>
  </si>
  <si>
    <t>Gas/fuel</t>
  </si>
  <si>
    <t>Insurance</t>
  </si>
  <si>
    <t>Repairs</t>
  </si>
  <si>
    <t>Car wash/detailing services</t>
  </si>
  <si>
    <t>Parking</t>
  </si>
  <si>
    <t>Public transportation</t>
  </si>
  <si>
    <t>Cable TV</t>
  </si>
  <si>
    <t>Video/DVD rentals</t>
  </si>
  <si>
    <t>Movies/plays</t>
  </si>
  <si>
    <t>Concerts/clubs</t>
  </si>
  <si>
    <t>Health club dues</t>
  </si>
  <si>
    <t>Prescriptions</t>
  </si>
  <si>
    <t>Over-the-counter drugs</t>
  </si>
  <si>
    <t>Co-payments/out-of-pocket</t>
  </si>
  <si>
    <t>Veterinarians/pet medicines</t>
  </si>
  <si>
    <t>Life insurance</t>
  </si>
  <si>
    <t>Plane fare</t>
  </si>
  <si>
    <t>Accommodations</t>
  </si>
  <si>
    <t>Food</t>
  </si>
  <si>
    <t>Souvenirs</t>
  </si>
  <si>
    <t>Pet boarding</t>
  </si>
  <si>
    <t>Rental car</t>
  </si>
  <si>
    <t>Gym fees</t>
  </si>
  <si>
    <t>Sports equipment</t>
  </si>
  <si>
    <t>Team dues</t>
  </si>
  <si>
    <t>Toys/child gear</t>
  </si>
  <si>
    <t>Magazines</t>
  </si>
  <si>
    <t>Newspapers</t>
  </si>
  <si>
    <t>Internet connection</t>
  </si>
  <si>
    <t>Public radio</t>
  </si>
  <si>
    <t>Public television</t>
  </si>
  <si>
    <t>Religious organizations</t>
  </si>
  <si>
    <t>Charity</t>
  </si>
  <si>
    <t>Clothing</t>
  </si>
  <si>
    <t>Gifts</t>
  </si>
  <si>
    <t>Salon/barber</t>
  </si>
  <si>
    <t>Books</t>
  </si>
  <si>
    <t>Music (CDs, etc.)</t>
  </si>
  <si>
    <t>Long-term savings</t>
  </si>
  <si>
    <t>Retirement (401k, Roth IRA)</t>
  </si>
  <si>
    <t>Credit card payments</t>
  </si>
  <si>
    <t>Income tax (additional)</t>
  </si>
  <si>
    <t>Other obligations</t>
  </si>
  <si>
    <t xml:space="preserve">   Other</t>
  </si>
  <si>
    <t>Total expenses</t>
  </si>
  <si>
    <t>Cash short/extra</t>
  </si>
  <si>
    <t>Total</t>
  </si>
  <si>
    <t>INCOME</t>
  </si>
  <si>
    <t>EXPENSES</t>
  </si>
  <si>
    <t>HOME</t>
  </si>
  <si>
    <t>TRANSPORTATION</t>
  </si>
  <si>
    <t>DAILY LIVING</t>
  </si>
  <si>
    <t>ENTERTAINMENT</t>
  </si>
  <si>
    <t>HEALTH</t>
  </si>
  <si>
    <t>VACATIONS</t>
  </si>
  <si>
    <t>RECREATION</t>
  </si>
  <si>
    <t>DUES/SUBSCRIPTION</t>
  </si>
  <si>
    <t>PERSONAL</t>
  </si>
  <si>
    <t>FINANCIAL OBLIGATIONS</t>
  </si>
  <si>
    <t>MISC PAYMENTS</t>
  </si>
  <si>
    <t>TOTALS</t>
  </si>
  <si>
    <t>JAN</t>
  </si>
  <si>
    <t>FEB</t>
  </si>
  <si>
    <t>MAY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</si>
  <si>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</si>
  <si>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</si>
  <si>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</si>
  <si>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</si>
  <si>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</si>
  <si>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</si>
  <si>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</si>
  <si>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</si>
  <si>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</si>
  <si>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YEAR</t>
  </si>
  <si>
    <t>REVENUE</t>
  </si>
  <si>
    <t>Mortgage</t>
  </si>
  <si>
    <t>Services</t>
  </si>
  <si>
    <t>Interest/Dividends</t>
  </si>
  <si>
    <t>March</t>
  </si>
  <si>
    <t>April</t>
  </si>
  <si>
    <t>May</t>
  </si>
  <si>
    <t>June</t>
  </si>
  <si>
    <t>July</t>
  </si>
  <si>
    <t>Year</t>
  </si>
  <si>
    <t>PERSONAL BUDGET</t>
  </si>
  <si>
    <t>January</t>
  </si>
  <si>
    <t>February</t>
  </si>
  <si>
    <t>August</t>
  </si>
  <si>
    <t>September</t>
  </si>
  <si>
    <t>October</t>
  </si>
  <si>
    <t>November</t>
  </si>
  <si>
    <t>December</t>
  </si>
  <si>
    <t>Sparkline</t>
  </si>
  <si>
    <t>Use this template to maintain monthly and annual budget.</t>
  </si>
  <si>
    <t>Enter Revenues and Expenses in respective tables to calculate Cash shortage or surplus for each month and year.</t>
  </si>
  <si>
    <t>Sparklines are auto updated in each table.</t>
  </si>
  <si>
    <t>Note: </t>
  </si>
  <si>
    <t>Additional instructions have been provided in column A in PERSONAL BUDGET worksheet. This text has been intentionally hidden. To remove text, select column A, then select DELETE. To unhide text, select column A, then change font color.</t>
  </si>
  <si>
    <t>To learn more about tables, press SHIFT and then F10 within a table, select the TABLE option, and then select ALTERNATIVE TEXT.</t>
  </si>
  <si>
    <t>Create a Simple Personal Budget in this worksheet. Helpful instructions on how to use this worksheet are in cells in this column. Arrow down to get started.</t>
  </si>
  <si>
    <t>Title of this worksheet is in cell at right. Enter year in cell Q2. Next instruction is in cell A4.</t>
  </si>
  <si>
    <t>Labels are in cells C4 through P4.</t>
  </si>
  <si>
    <t>Enter details in Income table starting in cell C5. Next instruction is in cell A11.</t>
  </si>
  <si>
    <t>Labels are in cells C11 through P11.</t>
  </si>
  <si>
    <t>Enter Home expenses in table starting in cell C12. Next instruction is in cell A20.</t>
  </si>
  <si>
    <t>Enter Daily expenses in table starting in cell C20. Next instruction is in cell A29.</t>
  </si>
  <si>
    <t>Enter Transportation expenses in table starting in cell C29. Next instruction is in cell A38.</t>
  </si>
  <si>
    <t>Enter Entertainment expenses in table starting in cell C38. Next instruction is in cell A45.</t>
  </si>
  <si>
    <t>Enter Health expenses in table starting in cell C45. Next instruction is in cell A55.</t>
  </si>
  <si>
    <t>Enter Vacations expenses in table starting in cell C55. Next instruction is in cell A64.</t>
  </si>
  <si>
    <t>Enter Recreation expenses in table starting in cell C64. Next instruction is in cell A71.</t>
  </si>
  <si>
    <t>Enter expenses in Dues and Subscription table starting in cell C71. Next instruction is in cell A81.</t>
  </si>
  <si>
    <t>Enter Personal expenses in table starting in cell C81. Next instruction is in cell A89.</t>
  </si>
  <si>
    <t>Enter Financial Obligations in table starting in cell C89. Next instruction is in cell A97.</t>
  </si>
  <si>
    <t>Enter Miscellaneous Payments in table starting in cell C97. Next instruction is in cell A105.</t>
  </si>
  <si>
    <t>Totals are auto calculated in table starting in cell C105. Total expenses and Cash shortage or surplus are auto calculated for each month and entire year, and sparklines are updated.</t>
  </si>
  <si>
    <t>SPARKLINE</t>
  </si>
  <si>
    <t>New Payment</t>
  </si>
  <si>
    <t>Monthly Payment</t>
  </si>
  <si>
    <t>Interest Rate</t>
  </si>
  <si>
    <t>Balance</t>
  </si>
  <si>
    <t>Creditor</t>
  </si>
  <si>
    <t>Lowest Balance First:</t>
  </si>
  <si>
    <t>Highest Interest Rate First:</t>
  </si>
  <si>
    <t>Repayment Strategies</t>
  </si>
  <si>
    <t>Extra Repayments:</t>
  </si>
  <si>
    <t>Amount Available:</t>
  </si>
  <si>
    <t>Total Monthly Payments:</t>
  </si>
  <si>
    <t>Average Monthly Interest:</t>
  </si>
  <si>
    <t>Average Interest Rate:</t>
  </si>
  <si>
    <t>Total Debt:</t>
  </si>
  <si>
    <t>Amount</t>
  </si>
  <si>
    <t xml:space="preserve"> </t>
  </si>
  <si>
    <t>If your extra repayments are negative, you're not making your minimum payments and need to re-budget!</t>
  </si>
  <si>
    <t>A calculated summary of your total debts and what you have available to pay them back.</t>
  </si>
  <si>
    <t>Totals &amp; Summary</t>
  </si>
  <si>
    <t>Repayment Budget</t>
  </si>
  <si>
    <t>Budgeted Amount</t>
  </si>
  <si>
    <t>Student Loan</t>
  </si>
  <si>
    <t>Car Loan</t>
  </si>
  <si>
    <t>MC Credit Card</t>
  </si>
  <si>
    <t>VISA Credit Card</t>
  </si>
  <si>
    <t>% of Total</t>
  </si>
  <si>
    <t>Update spreadsheet as you pay off your debts. Add more rows if needed.</t>
  </si>
  <si>
    <t>List all of your debts. Enter the balance you owe, annual interest rate, and required monthly payment for each.</t>
  </si>
  <si>
    <t>Debts</t>
  </si>
  <si>
    <t>Debt Reduction worksheet</t>
  </si>
  <si>
    <t>Use this sheet for your Snowball or Avalanche Method</t>
  </si>
  <si>
    <t>Column1</t>
  </si>
  <si>
    <t>Personal Budget and Debt Reduction worksheet</t>
  </si>
  <si>
    <t>In the Creditor Column, list your creditors for example: Amex, discover, Visa, Master card and so forth.  See Examples</t>
  </si>
  <si>
    <t>Debt Freedom Spreadsheet</t>
  </si>
  <si>
    <t>Pick your debt to repay. Snowball or Avalance Method</t>
  </si>
  <si>
    <t>* Snowball tackles the lowest balance cards first</t>
  </si>
  <si>
    <t>*Avalance tackles the highest interests debts first</t>
  </si>
  <si>
    <t>Paypal Credit Card</t>
  </si>
  <si>
    <t>Home Depot Credit Card</t>
  </si>
  <si>
    <t>AmazonCredit Card</t>
  </si>
  <si>
    <t>This section will auto populate the extra cash from the person budget worksheet that you can apply towards the snowball or avalance methods</t>
  </si>
  <si>
    <t>If this number is negative, start working on elementing expenses you can live without</t>
  </si>
  <si>
    <t>*if you make changes to the spreadsheet, you could cause errors in the formulas</t>
  </si>
  <si>
    <t>*Amount is Automatically applied to debt freedom worksheet</t>
  </si>
  <si>
    <t>Update the balance each month</t>
  </si>
  <si>
    <t>JANUARY</t>
  </si>
  <si>
    <t>If this number is negative, work to eliminate expenses you can live without</t>
  </si>
  <si>
    <t>0.00%</t>
  </si>
  <si>
    <t>Each month you will want to update the balance on the debt that you owe and continue as normal.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</si>
</sst>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39" x14ac:knownFonts="1">
    <font>
      <sz val="10"/>
      <color theme="1" tint="0.14993743705557422"/>
      <name val="verdana"/>
      <family val="2"/>
      <scheme val="minor"/>
    </font>
    <font>
      <b/>
      <sz val="10"/>
      <color theme="1" tint="0.14990691854609822"/>
      <name val="Gill Sans MT"/>
      <family val="2"/>
      <scheme val="major"/>
    </font>
    <font>
      <sz val="11"/>
      <color theme="1" tint="0.14993743705557422"/>
      <name val="Gill Sans MT"/>
      <family val="2"/>
      <scheme val="major"/>
    </font>
    <font>
      <sz val="22"/>
      <color theme="1" tint="0.14993743705557422"/>
      <name val="Gill Sans MT"/>
      <family val="2"/>
      <scheme val="major"/>
    </font>
    <font>
      <sz val="10"/>
      <color theme="4" tint="-0.499984740745262"/>
      <name val="verdana"/>
      <family val="2"/>
      <scheme val="minor"/>
    </font>
    <font>
      <sz val="10"/>
      <color theme="5" tint="-0.499984740745262"/>
      <name val="verdana"/>
      <family val="2"/>
      <scheme val="minor"/>
    </font>
    <font>
      <sz val="11"/>
      <color theme="1" tint="0.34998626667073579"/>
      <name val="Gill Sans MT"/>
      <family val="2"/>
      <scheme val="major"/>
    </font>
    <font>
      <b/>
      <sz val="10"/>
      <color theme="4"/>
      <name val="Gill Sans MT"/>
      <family val="2"/>
      <scheme val="major"/>
    </font>
    <font>
      <sz val="10"/>
      <color theme="0"/>
      <name val="verdana"/>
      <family val="2"/>
      <scheme val="minor"/>
    </font>
    <font>
      <b/>
      <sz val="10"/>
      <color theme="5"/>
      <name val="Gill Sans MT"/>
      <family val="2"/>
      <scheme val="major"/>
    </font>
    <font>
      <b/>
      <sz val="10"/>
      <color theme="0"/>
      <name val="Gill Sans MT"/>
      <family val="2"/>
      <scheme val="major"/>
    </font>
    <font>
      <b/>
      <sz val="10"/>
      <color theme="4"/>
      <name val="verdana"/>
      <family val="2"/>
      <scheme val="minor"/>
    </font>
    <font>
      <b/>
      <sz val="10"/>
      <color theme="5"/>
      <name val="verdana"/>
      <family val="2"/>
      <scheme val="minor"/>
    </font>
    <font>
      <b/>
      <sz val="25"/>
      <color rgb="FF000000"/>
      <name val="Gill Sans MT"/>
      <family val="2"/>
    </font>
    <font>
      <sz val="16"/>
      <color theme="0"/>
      <name val="Arial"/>
      <family val="2"/>
    </font>
    <font>
      <sz val="11"/>
      <color theme="1" tint="0.14993743705557422"/>
      <name val="Calibri"/>
      <family val="2"/>
    </font>
    <font>
      <b/>
      <sz val="11"/>
      <color theme="1" tint="0.14993743705557422"/>
      <name val="Calibri"/>
      <family val="2"/>
    </font>
    <font>
      <sz val="10"/>
      <color rgb="FFF7F7F7"/>
      <name val="verdana"/>
      <family val="2"/>
      <scheme val="minor"/>
    </font>
    <font>
      <sz val="11"/>
      <color rgb="FFF7F7F7"/>
      <name val="Calibri"/>
      <family val="2"/>
    </font>
    <font>
      <b/>
      <sz val="10"/>
      <color theme="1"/>
      <name val="Gill Sans MT"/>
      <family val="2"/>
      <scheme val="major"/>
    </font>
    <font>
      <sz val="8"/>
      <name val="verdana"/>
      <family val="2"/>
      <scheme val="minor"/>
    </font>
    <font>
      <b/>
      <sz val="10"/>
      <color theme="1" tint="0.14993743705557422"/>
      <name val="verdana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sz val="16"/>
      <name val="Trebuchet MS Bold"/>
    </font>
    <font>
      <u/>
      <sz val="10"/>
      <name val="Verdana"/>
      <family val="2"/>
    </font>
    <font>
      <sz val="28"/>
      <name val="Harrington"/>
      <family val="5"/>
    </font>
    <font>
      <b/>
      <u/>
      <sz val="24"/>
      <name val="Verdana"/>
      <family val="2"/>
    </font>
    <font>
      <b/>
      <sz val="10"/>
      <color rgb="FFFF0000"/>
      <name val="Verdana"/>
      <family val="2"/>
    </font>
    <font>
      <b/>
      <sz val="10"/>
      <name val="verdana"/>
      <family val="2"/>
      <scheme val="minor"/>
    </font>
    <font>
      <b/>
      <sz val="10"/>
      <color theme="0"/>
      <name val="verdana"/>
      <family val="2"/>
      <scheme val="minor"/>
    </font>
    <font>
      <b/>
      <sz val="10"/>
      <color theme="1"/>
      <name val="verdana"/>
      <family val="2"/>
      <scheme val="minor"/>
    </font>
    <font>
      <b/>
      <sz val="11"/>
      <name val="Gill Sans MT"/>
      <family val="2"/>
      <scheme val="major"/>
    </font>
    <font>
      <b/>
      <sz val="10"/>
      <color rgb="FF00B050"/>
      <name val="verdana"/>
      <family val="2"/>
      <scheme val="minor"/>
    </font>
    <font>
      <sz val="10"/>
      <color rgb="FFFF0000"/>
      <name val="verdana"/>
      <family val="2"/>
      <scheme val="minor"/>
    </font>
    <font>
      <b/>
      <sz val="10"/>
      <color rgb="FFFF0000"/>
      <name val="verdana"/>
      <family val="2"/>
      <scheme val="minor"/>
    </font>
    <font>
      <sz val="28"/>
      <name val="Verdana"/>
      <family val="2"/>
    </font>
    <font>
      <b/>
      <sz val="28"/>
      <name val="Verdana"/>
      <family val="2"/>
    </font>
  </fonts>
  <fills count="15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5" tint="0.80001220740379042"/>
        </stop>
      </gradient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EFF5FF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A83AEE"/>
        <bgColor indexed="64"/>
      </patternFill>
    </fill>
    <fill>
      <patternFill patternType="solid">
        <fgColor rgb="FFD092F6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 style="medium">
        <color theme="1"/>
      </top>
      <bottom/>
      <diagonal/>
    </border>
    <border>
      <left/>
      <right/>
      <top/>
      <bottom style="medium">
        <color theme="1"/>
      </bottom>
      <diagonal/>
    </border>
    <border>
      <left/>
      <right style="thick">
        <color theme="4"/>
      </right>
      <top/>
      <bottom/>
      <diagonal/>
    </border>
    <border>
      <left/>
      <right style="thick">
        <color theme="5"/>
      </right>
      <top/>
      <bottom/>
      <diagonal/>
    </border>
    <border>
      <left style="thick">
        <color theme="5"/>
      </left>
      <right/>
      <top/>
      <bottom/>
      <diagonal/>
    </border>
    <border>
      <left style="thick">
        <color theme="4"/>
      </left>
      <right/>
      <top/>
      <bottom/>
      <diagonal/>
    </border>
    <border>
      <left style="medium">
        <color theme="4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medium">
        <color theme="4" tint="0.79998168889431442"/>
      </right>
      <top/>
      <bottom/>
      <diagonal/>
    </border>
    <border>
      <left/>
      <right style="medium">
        <color theme="5" tint="0.79998168889431442"/>
      </right>
      <top/>
      <bottom/>
      <diagonal/>
    </border>
    <border>
      <left style="thin">
        <color theme="5"/>
      </left>
      <right/>
      <top/>
      <bottom style="thick">
        <color theme="0"/>
      </bottom>
      <diagonal/>
    </border>
    <border>
      <left style="thick">
        <color theme="4"/>
      </left>
      <right/>
      <top/>
      <bottom style="thick">
        <color theme="0"/>
      </bottom>
      <diagonal/>
    </border>
    <border>
      <left style="thick">
        <color theme="5"/>
      </left>
      <right/>
      <top/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11" borderId="0">
      <alignment vertical="center"/>
    </xf>
    <xf numFmtId="0" fontId="3" fillId="0" borderId="0" applyNumberFormat="0" applyFill="0" applyProtection="0">
      <alignment vertical="center"/>
    </xf>
    <xf numFmtId="0" fontId="2" fillId="0" borderId="1" applyNumberFormat="0" applyFill="0" applyProtection="0">
      <alignment vertical="center"/>
    </xf>
    <xf numFmtId="0" fontId="1" fillId="6" borderId="0" applyNumberFormat="0" applyProtection="0">
      <alignment horizontal="left" vertical="center" indent="1"/>
    </xf>
    <xf numFmtId="0" fontId="1" fillId="2" borderId="0" applyNumberFormat="0" applyProtection="0">
      <alignment vertical="center"/>
    </xf>
    <xf numFmtId="0" fontId="22" fillId="0" borderId="0"/>
  </cellStyleXfs>
  <cellXfs count="123">
    <xf numFmtId="0" fontId="0" fillId="11" borderId="0" xfId="0">
      <alignment vertical="center"/>
    </xf>
    <xf numFmtId="0" fontId="0" fillId="11" borderId="0" xfId="0" applyAlignment="1">
      <alignment horizontal="right" vertical="center"/>
    </xf>
    <xf numFmtId="164" fontId="0" fillId="0" borderId="0" xfId="0" applyNumberFormat="1" applyFill="1" applyAlignment="1">
      <alignment horizontal="right" vertical="center"/>
    </xf>
    <xf numFmtId="164" fontId="4" fillId="0" borderId="0" xfId="0" applyNumberFormat="1" applyFont="1" applyFill="1" applyAlignment="1">
      <alignment horizontal="right" vertical="center"/>
    </xf>
    <xf numFmtId="164" fontId="5" fillId="0" borderId="0" xfId="0" applyNumberFormat="1" applyFont="1" applyFill="1" applyAlignment="1">
      <alignment horizontal="right" vertical="center"/>
    </xf>
    <xf numFmtId="0" fontId="0" fillId="0" borderId="0" xfId="0" applyFill="1" applyAlignment="1">
      <alignment horizontal="left" vertical="center" indent="1"/>
    </xf>
    <xf numFmtId="0" fontId="5" fillId="0" borderId="0" xfId="0" applyFont="1" applyFill="1" applyAlignment="1">
      <alignment horizontal="left" vertical="center" indent="1"/>
    </xf>
    <xf numFmtId="0" fontId="4" fillId="0" borderId="0" xfId="0" applyFont="1" applyFill="1" applyAlignment="1">
      <alignment horizontal="left" vertical="center" indent="1"/>
    </xf>
    <xf numFmtId="0" fontId="0" fillId="5" borderId="0" xfId="0" applyFill="1">
      <alignment vertical="center"/>
    </xf>
    <xf numFmtId="0" fontId="6" fillId="0" borderId="0" xfId="2" applyFont="1" applyFill="1" applyBorder="1" applyAlignment="1">
      <alignment horizontal="left" vertical="center" indent="1"/>
    </xf>
    <xf numFmtId="0" fontId="6" fillId="0" borderId="0" xfId="2" applyFont="1" applyFill="1" applyBorder="1" applyAlignment="1">
      <alignment horizontal="right" vertical="center"/>
    </xf>
    <xf numFmtId="0" fontId="7" fillId="0" borderId="0" xfId="3" applyFont="1" applyFill="1">
      <alignment horizontal="left" vertical="center" indent="1"/>
    </xf>
    <xf numFmtId="164" fontId="0" fillId="7" borderId="0" xfId="0" applyNumberFormat="1" applyFill="1" applyAlignment="1">
      <alignment horizontal="right" vertical="center"/>
    </xf>
    <xf numFmtId="164" fontId="4" fillId="7" borderId="0" xfId="0" applyNumberFormat="1" applyFont="1" applyFill="1" applyAlignment="1">
      <alignment horizontal="right" vertical="center"/>
    </xf>
    <xf numFmtId="0" fontId="9" fillId="0" borderId="0" xfId="3" applyFont="1" applyFill="1">
      <alignment horizontal="left" vertical="center" indent="1"/>
    </xf>
    <xf numFmtId="164" fontId="5" fillId="7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horizontal="left" vertical="center" indent="1"/>
    </xf>
    <xf numFmtId="0" fontId="0" fillId="0" borderId="0" xfId="0" applyFill="1" applyAlignment="1">
      <alignment horizontal="left" vertical="center"/>
    </xf>
    <xf numFmtId="0" fontId="0" fillId="10" borderId="0" xfId="0" applyFill="1" applyAlignment="1">
      <alignment horizontal="left" vertical="center" indent="1"/>
    </xf>
    <xf numFmtId="164" fontId="0" fillId="10" borderId="0" xfId="0" applyNumberFormat="1" applyFill="1" applyAlignment="1">
      <alignment horizontal="right" vertical="center"/>
    </xf>
    <xf numFmtId="0" fontId="11" fillId="0" borderId="0" xfId="0" applyFont="1" applyFill="1" applyAlignment="1">
      <alignment horizontal="left" vertical="center" indent="1"/>
    </xf>
    <xf numFmtId="0" fontId="9" fillId="0" borderId="0" xfId="0" applyFont="1" applyFill="1" applyAlignment="1">
      <alignment horizontal="left" vertical="center" indent="1"/>
    </xf>
    <xf numFmtId="0" fontId="12" fillId="0" borderId="0" xfId="0" applyFont="1" applyFill="1" applyAlignment="1">
      <alignment horizontal="left" vertical="center" indent="1"/>
    </xf>
    <xf numFmtId="0" fontId="0" fillId="4" borderId="0" xfId="0" applyFill="1">
      <alignment vertical="center"/>
    </xf>
    <xf numFmtId="0" fontId="0" fillId="3" borderId="0" xfId="0" applyFill="1">
      <alignment vertical="center"/>
    </xf>
    <xf numFmtId="0" fontId="10" fillId="8" borderId="0" xfId="3" applyFont="1" applyFill="1">
      <alignment horizontal="left" vertical="center" indent="1"/>
    </xf>
    <xf numFmtId="0" fontId="8" fillId="8" borderId="0" xfId="0" applyFont="1" applyFill="1" applyAlignment="1">
      <alignment horizontal="left" vertical="center" indent="1"/>
    </xf>
    <xf numFmtId="164" fontId="8" fillId="8" borderId="0" xfId="0" applyNumberFormat="1" applyFont="1" applyFill="1" applyAlignment="1">
      <alignment horizontal="right" vertical="center"/>
    </xf>
    <xf numFmtId="0" fontId="8" fillId="8" borderId="0" xfId="0" applyFont="1" applyFill="1">
      <alignment vertical="center"/>
    </xf>
    <xf numFmtId="0" fontId="8" fillId="9" borderId="0" xfId="0" applyFont="1" applyFill="1">
      <alignment vertical="center"/>
    </xf>
    <xf numFmtId="0" fontId="0" fillId="11" borderId="4" xfId="0" applyBorder="1">
      <alignment vertical="center"/>
    </xf>
    <xf numFmtId="0" fontId="0" fillId="11" borderId="5" xfId="0" applyBorder="1">
      <alignment vertical="center"/>
    </xf>
    <xf numFmtId="0" fontId="7" fillId="10" borderId="0" xfId="0" applyFont="1" applyFill="1" applyAlignment="1">
      <alignment horizontal="left" vertical="center" indent="1"/>
    </xf>
    <xf numFmtId="0" fontId="0" fillId="0" borderId="6" xfId="0" applyFill="1" applyBorder="1" applyAlignment="1">
      <alignment horizontal="left" vertical="center" indent="1"/>
    </xf>
    <xf numFmtId="0" fontId="0" fillId="0" borderId="7" xfId="0" applyFill="1" applyBorder="1" applyAlignment="1">
      <alignment horizontal="left" vertical="center" indent="1"/>
    </xf>
    <xf numFmtId="0" fontId="0" fillId="11" borderId="2" xfId="0" applyBorder="1" applyAlignment="1">
      <alignment horizontal="right" vertical="center"/>
    </xf>
    <xf numFmtId="0" fontId="4" fillId="7" borderId="8" xfId="0" applyFont="1" applyFill="1" applyBorder="1" applyAlignment="1">
      <alignment horizontal="left" vertical="center" indent="1"/>
    </xf>
    <xf numFmtId="0" fontId="4" fillId="7" borderId="9" xfId="0" applyFont="1" applyFill="1" applyBorder="1" applyAlignment="1">
      <alignment horizontal="right" vertical="center"/>
    </xf>
    <xf numFmtId="0" fontId="8" fillId="10" borderId="0" xfId="0" applyFont="1" applyFill="1">
      <alignment vertical="center"/>
    </xf>
    <xf numFmtId="0" fontId="8" fillId="0" borderId="0" xfId="0" applyFont="1" applyFill="1" applyAlignment="1">
      <alignment horizontal="right" vertical="center"/>
    </xf>
    <xf numFmtId="0" fontId="5" fillId="7" borderId="12" xfId="0" applyFont="1" applyFill="1" applyBorder="1" applyAlignment="1">
      <alignment horizontal="left" vertical="center" indent="1"/>
    </xf>
    <xf numFmtId="0" fontId="5" fillId="7" borderId="9" xfId="0" applyFont="1" applyFill="1" applyBorder="1" applyAlignment="1">
      <alignment horizontal="right" vertical="center"/>
    </xf>
    <xf numFmtId="0" fontId="0" fillId="7" borderId="13" xfId="0" applyFill="1" applyBorder="1" applyAlignment="1">
      <alignment horizontal="left" vertical="center" indent="1"/>
    </xf>
    <xf numFmtId="0" fontId="0" fillId="7" borderId="9" xfId="0" applyFill="1" applyBorder="1" applyAlignment="1">
      <alignment horizontal="right" vertical="center"/>
    </xf>
    <xf numFmtId="0" fontId="0" fillId="7" borderId="14" xfId="0" applyFill="1" applyBorder="1" applyAlignment="1">
      <alignment horizontal="left" vertical="center" indent="1"/>
    </xf>
    <xf numFmtId="0" fontId="15" fillId="11" borderId="0" xfId="0" applyFont="1" applyAlignment="1">
      <alignment vertical="center" wrapText="1"/>
    </xf>
    <xf numFmtId="0" fontId="16" fillId="11" borderId="0" xfId="0" applyFont="1" applyAlignment="1">
      <alignment vertical="center" wrapText="1"/>
    </xf>
    <xf numFmtId="0" fontId="8" fillId="11" borderId="3" xfId="0" applyFont="1" applyBorder="1">
      <alignment vertical="center"/>
    </xf>
    <xf numFmtId="0" fontId="17" fillId="11" borderId="0" xfId="0" applyFont="1" applyAlignment="1">
      <alignment wrapText="1"/>
    </xf>
    <xf numFmtId="0" fontId="18" fillId="11" borderId="0" xfId="0" applyFont="1" applyAlignment="1">
      <alignment vertical="center" wrapText="1"/>
    </xf>
    <xf numFmtId="0" fontId="17" fillId="11" borderId="0" xfId="0" applyFont="1" applyAlignment="1">
      <alignment vertical="center" wrapText="1"/>
    </xf>
    <xf numFmtId="0" fontId="19" fillId="8" borderId="0" xfId="3" applyFont="1" applyFill="1">
      <alignment horizontal="left" vertical="center" indent="1"/>
    </xf>
    <xf numFmtId="0" fontId="13" fillId="11" borderId="0" xfId="0" applyFont="1" applyAlignment="1"/>
    <xf numFmtId="0" fontId="0" fillId="11" borderId="3" xfId="0" applyBorder="1" applyAlignment="1">
      <alignment horizontal="center" vertical="center"/>
    </xf>
    <xf numFmtId="0" fontId="0" fillId="11" borderId="0" xfId="0">
      <alignment vertical="center"/>
    </xf>
    <xf numFmtId="0" fontId="21" fillId="11" borderId="0" xfId="0" applyFont="1" applyAlignment="1">
      <alignment horizontal="center" vertical="center"/>
    </xf>
    <xf numFmtId="0" fontId="22" fillId="0" borderId="0" xfId="5"/>
    <xf numFmtId="10" fontId="22" fillId="0" borderId="0" xfId="5" applyNumberFormat="1"/>
    <xf numFmtId="164" fontId="22" fillId="0" borderId="0" xfId="5" applyNumberFormat="1"/>
    <xf numFmtId="164" fontId="22" fillId="0" borderId="0" xfId="5" applyNumberFormat="1" applyAlignment="1">
      <alignment horizontal="right"/>
    </xf>
    <xf numFmtId="10" fontId="22" fillId="0" borderId="0" xfId="5" applyNumberFormat="1" applyAlignment="1">
      <alignment horizontal="right"/>
    </xf>
    <xf numFmtId="0" fontId="22" fillId="0" borderId="0" xfId="5" applyAlignment="1">
      <alignment horizontal="left"/>
    </xf>
    <xf numFmtId="0" fontId="22" fillId="0" borderId="0" xfId="5" applyAlignment="1">
      <alignment horizontal="right"/>
    </xf>
    <xf numFmtId="0" fontId="23" fillId="0" borderId="0" xfId="5" applyFont="1"/>
    <xf numFmtId="164" fontId="24" fillId="0" borderId="0" xfId="5" applyNumberFormat="1" applyFont="1"/>
    <xf numFmtId="164" fontId="25" fillId="0" borderId="0" xfId="5" applyNumberFormat="1" applyFont="1"/>
    <xf numFmtId="164" fontId="23" fillId="0" borderId="0" xfId="5" applyNumberFormat="1" applyFont="1"/>
    <xf numFmtId="10" fontId="23" fillId="0" borderId="0" xfId="5" applyNumberFormat="1" applyFont="1"/>
    <xf numFmtId="0" fontId="26" fillId="0" borderId="0" xfId="5" quotePrefix="1" applyFont="1"/>
    <xf numFmtId="0" fontId="22" fillId="0" borderId="0" xfId="5" quotePrefix="1"/>
    <xf numFmtId="10" fontId="23" fillId="0" borderId="0" xfId="5" applyNumberFormat="1" applyFont="1" applyAlignment="1">
      <alignment horizontal="right"/>
    </xf>
    <xf numFmtId="164" fontId="23" fillId="0" borderId="0" xfId="5" applyNumberFormat="1" applyFont="1" applyAlignment="1">
      <alignment horizontal="right"/>
    </xf>
    <xf numFmtId="164" fontId="27" fillId="0" borderId="0" xfId="5" applyNumberFormat="1" applyFont="1" applyAlignment="1">
      <alignment horizontal="right"/>
    </xf>
    <xf numFmtId="164" fontId="28" fillId="0" borderId="0" xfId="5" applyNumberFormat="1" applyFont="1"/>
    <xf numFmtId="0" fontId="22" fillId="0" borderId="0" xfId="5" applyFont="1" applyFill="1"/>
    <xf numFmtId="164" fontId="22" fillId="0" borderId="0" xfId="5" applyNumberFormat="1" applyFont="1" applyFill="1"/>
    <xf numFmtId="10" fontId="22" fillId="0" borderId="0" xfId="5" applyNumberFormat="1" applyFont="1" applyFill="1"/>
    <xf numFmtId="0" fontId="22" fillId="0" borderId="0" xfId="0" applyNumberFormat="1" applyFont="1" applyFill="1" applyBorder="1" applyAlignment="1" applyProtection="1"/>
    <xf numFmtId="164" fontId="22" fillId="0" borderId="0" xfId="0" applyNumberFormat="1" applyFont="1" applyFill="1" applyBorder="1" applyAlignment="1" applyProtection="1"/>
    <xf numFmtId="10" fontId="22" fillId="0" borderId="0" xfId="0" applyNumberFormat="1" applyFont="1" applyFill="1" applyBorder="1" applyAlignment="1" applyProtection="1"/>
    <xf numFmtId="0" fontId="14" fillId="12" borderId="0" xfId="0" applyFont="1" applyFill="1" applyAlignment="1">
      <alignment horizontal="center" vertical="center"/>
    </xf>
    <xf numFmtId="0" fontId="0" fillId="11" borderId="0" xfId="0" applyFill="1">
      <alignment vertical="center"/>
    </xf>
    <xf numFmtId="164" fontId="0" fillId="12" borderId="9" xfId="0" applyNumberFormat="1" applyFill="1" applyBorder="1" applyAlignment="1">
      <alignment horizontal="right" vertical="center"/>
    </xf>
    <xf numFmtId="0" fontId="29" fillId="0" borderId="0" xfId="5" applyFont="1" applyAlignment="1">
      <alignment vertical="center"/>
    </xf>
    <xf numFmtId="164" fontId="29" fillId="0" borderId="0" xfId="5" applyNumberFormat="1" applyFont="1"/>
    <xf numFmtId="0" fontId="31" fillId="13" borderId="11" xfId="0" applyFont="1" applyFill="1" applyBorder="1" applyAlignment="1">
      <alignment horizontal="center" vertical="center"/>
    </xf>
    <xf numFmtId="0" fontId="31" fillId="13" borderId="10" xfId="0" applyFont="1" applyFill="1" applyBorder="1" applyAlignment="1">
      <alignment horizontal="center" vertical="center"/>
    </xf>
    <xf numFmtId="0" fontId="31" fillId="13" borderId="0" xfId="0" applyFont="1" applyFill="1" applyAlignment="1">
      <alignment horizontal="center" vertical="center"/>
    </xf>
    <xf numFmtId="0" fontId="32" fillId="11" borderId="0" xfId="0" applyFont="1" applyAlignment="1">
      <alignment horizontal="center" vertical="center"/>
    </xf>
    <xf numFmtId="0" fontId="32" fillId="10" borderId="0" xfId="0" applyFont="1" applyFill="1" applyAlignment="1">
      <alignment horizontal="center" vertical="center"/>
    </xf>
    <xf numFmtId="164" fontId="21" fillId="12" borderId="9" xfId="0" applyNumberFormat="1" applyFont="1" applyFill="1" applyBorder="1" applyAlignment="1">
      <alignment horizontal="center" vertical="center"/>
    </xf>
    <xf numFmtId="164" fontId="21" fillId="7" borderId="9" xfId="0" applyNumberFormat="1" applyFont="1" applyFill="1" applyBorder="1" applyAlignment="1">
      <alignment horizontal="center" vertical="center"/>
    </xf>
    <xf numFmtId="164" fontId="32" fillId="12" borderId="9" xfId="0" applyNumberFormat="1" applyFont="1" applyFill="1" applyBorder="1" applyAlignment="1">
      <alignment horizontal="center" vertical="center"/>
    </xf>
    <xf numFmtId="164" fontId="32" fillId="7" borderId="9" xfId="0" applyNumberFormat="1" applyFont="1" applyFill="1" applyBorder="1" applyAlignment="1">
      <alignment horizontal="center" vertical="center"/>
    </xf>
    <xf numFmtId="0" fontId="31" fillId="11" borderId="0" xfId="0" applyFont="1" applyAlignment="1">
      <alignment horizontal="center" vertical="center"/>
    </xf>
    <xf numFmtId="0" fontId="31" fillId="10" borderId="0" xfId="0" applyFont="1" applyFill="1" applyAlignment="1">
      <alignment horizontal="center" vertical="center"/>
    </xf>
    <xf numFmtId="0" fontId="30" fillId="11" borderId="0" xfId="0" applyFont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30" fillId="10" borderId="0" xfId="0" applyFont="1" applyFill="1" applyAlignment="1">
      <alignment horizontal="center" vertical="center"/>
    </xf>
    <xf numFmtId="164" fontId="30" fillId="12" borderId="9" xfId="0" applyNumberFormat="1" applyFont="1" applyFill="1" applyBorder="1" applyAlignment="1">
      <alignment horizontal="center" vertical="center"/>
    </xf>
    <xf numFmtId="164" fontId="30" fillId="7" borderId="9" xfId="0" applyNumberFormat="1" applyFont="1" applyFill="1" applyBorder="1" applyAlignment="1">
      <alignment horizontal="center" vertical="center"/>
    </xf>
    <xf numFmtId="0" fontId="33" fillId="0" borderId="0" xfId="2" applyFont="1" applyFill="1" applyBorder="1" applyAlignment="1">
      <alignment horizontal="center" vertical="center"/>
    </xf>
    <xf numFmtId="164" fontId="34" fillId="0" borderId="15" xfId="0" applyNumberFormat="1" applyFont="1" applyFill="1" applyBorder="1" applyAlignment="1">
      <alignment horizontal="right" vertical="center"/>
    </xf>
    <xf numFmtId="164" fontId="34" fillId="7" borderId="9" xfId="0" applyNumberFormat="1" applyFont="1" applyFill="1" applyBorder="1" applyAlignment="1">
      <alignment horizontal="center" vertical="center"/>
    </xf>
    <xf numFmtId="164" fontId="35" fillId="0" borderId="15" xfId="0" applyNumberFormat="1" applyFont="1" applyFill="1" applyBorder="1" applyAlignment="1">
      <alignment horizontal="right" vertical="center"/>
    </xf>
    <xf numFmtId="164" fontId="36" fillId="0" borderId="15" xfId="0" applyNumberFormat="1" applyFont="1" applyFill="1" applyBorder="1" applyAlignment="1">
      <alignment horizontal="center" vertical="center"/>
    </xf>
    <xf numFmtId="164" fontId="21" fillId="13" borderId="0" xfId="0" applyNumberFormat="1" applyFont="1" applyFill="1" applyAlignment="1">
      <alignment horizontal="center" vertical="center"/>
    </xf>
    <xf numFmtId="164" fontId="21" fillId="10" borderId="0" xfId="0" applyNumberFormat="1" applyFont="1" applyFill="1" applyAlignment="1">
      <alignment horizontal="center" vertical="center"/>
    </xf>
    <xf numFmtId="164" fontId="21" fillId="0" borderId="0" xfId="0" applyNumberFormat="1" applyFont="1" applyFill="1" applyAlignment="1">
      <alignment horizontal="center" vertical="center"/>
    </xf>
    <xf numFmtId="164" fontId="31" fillId="9" borderId="0" xfId="0" applyNumberFormat="1" applyFont="1" applyFill="1" applyAlignment="1">
      <alignment horizontal="center" vertical="center"/>
    </xf>
    <xf numFmtId="164" fontId="31" fillId="8" borderId="0" xfId="0" applyNumberFormat="1" applyFont="1" applyFill="1" applyAlignment="1">
      <alignment horizontal="center" vertical="center"/>
    </xf>
    <xf numFmtId="164" fontId="21" fillId="11" borderId="0" xfId="0" applyNumberFormat="1" applyFont="1" applyAlignment="1">
      <alignment horizontal="center" vertical="center"/>
    </xf>
    <xf numFmtId="164" fontId="36" fillId="7" borderId="9" xfId="0" applyNumberFormat="1" applyFont="1" applyFill="1" applyBorder="1" applyAlignment="1">
      <alignment horizontal="center" vertical="center"/>
    </xf>
    <xf numFmtId="164" fontId="21" fillId="14" borderId="0" xfId="0" applyNumberFormat="1" applyFont="1" applyFill="1" applyAlignment="1">
      <alignment horizontal="center" vertical="center"/>
    </xf>
    <xf numFmtId="164" fontId="22" fillId="0" borderId="0" xfId="5" applyNumberFormat="1" applyAlignment="1">
      <alignment horizontal="center"/>
    </xf>
    <xf numFmtId="0" fontId="23" fillId="0" borderId="0" xfId="5" applyFont="1" applyBorder="1" applyAlignment="1">
      <alignment horizontal="center" wrapText="1"/>
    </xf>
    <xf numFmtId="0" fontId="10" fillId="9" borderId="0" xfId="3" applyFont="1" applyFill="1" applyAlignment="1">
      <alignment horizontal="center" vertical="center"/>
    </xf>
    <xf numFmtId="0" fontId="10" fillId="8" borderId="0" xfId="3" applyFont="1" applyFill="1" applyAlignment="1">
      <alignment horizontal="center" vertical="center"/>
    </xf>
    <xf numFmtId="0" fontId="21" fillId="11" borderId="0" xfId="0" applyFont="1" applyAlignment="1">
      <alignment horizontal="center" vertical="center" wrapText="1"/>
    </xf>
    <xf numFmtId="0" fontId="23" fillId="0" borderId="0" xfId="5" applyFont="1" applyBorder="1" applyAlignment="1"/>
    <xf numFmtId="0" fontId="29" fillId="0" borderId="0" xfId="5" applyFont="1" applyBorder="1" applyAlignment="1"/>
    <xf numFmtId="164" fontId="37" fillId="0" borderId="0" xfId="5" applyNumberFormat="1" applyFont="1"/>
    <xf numFmtId="164" fontId="38" fillId="0" borderId="0" xfId="5" applyNumberFormat="1" applyFont="1"/>
  </cellXfs>
  <cellStyles count="6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hidden="1" customBuiltin="1"/>
    <cellStyle name="Normal" xfId="0" builtinId="0" customBuiltin="1"/>
    <cellStyle name="Normal 2" xfId="5" xr:uid="{16EB617E-E3F0-4E49-A2C9-BE7A55F01D1C}"/>
  </cellStyles>
  <dxfs count="8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verdana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verdana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medium">
          <color theme="4"/>
        </left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rgb="FF000000"/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rgb="FF000000"/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rgb="FF000000"/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rgb="FF000000"/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rgb="FF000000"/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rgb="FF000000"/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rgb="FF000000"/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rgb="FF000000"/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rgb="FF000000"/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rgb="FF000000"/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rgb="FF000000"/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theme="0"/>
      </font>
      <numFmt numFmtId="164" formatCode="&quot;$&quot;#,##0.00"/>
      <fill>
        <patternFill patternType="solid">
          <fgColor indexed="64"/>
          <bgColor theme="1" tint="0.34998626667073579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0"/>
      </font>
      <numFmt numFmtId="164" formatCode="&quot;$&quot;#,##0.00"/>
      <fill>
        <patternFill patternType="solid">
          <fgColor indexed="64"/>
          <bgColor theme="1"/>
        </patternFill>
      </fill>
      <alignment horizontal="right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0"/>
      </font>
      <numFmt numFmtId="164" formatCode="&quot;$&quot;#,##0.00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0"/>
      </font>
      <numFmt numFmtId="164" formatCode="&quot;$&quot;#,##0.00"/>
      <fill>
        <patternFill patternType="solid">
          <fgColor indexed="64"/>
          <bgColor theme="1" tint="0.34998626667073579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0"/>
      </font>
      <numFmt numFmtId="164" formatCode="&quot;$&quot;#,##0.00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0"/>
      </font>
      <numFmt numFmtId="164" formatCode="&quot;$&quot;#,##0.00"/>
      <fill>
        <patternFill patternType="solid">
          <fgColor indexed="64"/>
          <bgColor theme="1" tint="0.34998626667073579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0"/>
      </font>
      <numFmt numFmtId="164" formatCode="&quot;$&quot;#,##0.00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0"/>
      </font>
      <numFmt numFmtId="164" formatCode="&quot;$&quot;#,##0.00"/>
      <fill>
        <patternFill patternType="solid">
          <fgColor indexed="64"/>
          <bgColor theme="1" tint="0.34998626667073579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0"/>
      </font>
      <numFmt numFmtId="164" formatCode="&quot;$&quot;#,##0.00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0"/>
      </font>
      <numFmt numFmtId="164" formatCode="&quot;$&quot;#,##0.00"/>
      <fill>
        <patternFill patternType="solid">
          <fgColor indexed="64"/>
          <bgColor theme="1" tint="0.34998626667073579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0"/>
      </font>
      <numFmt numFmtId="164" formatCode="&quot;$&quot;#,##0.00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0"/>
      </font>
      <numFmt numFmtId="164" formatCode="&quot;$&quot;#,##0.00"/>
      <fill>
        <patternFill patternType="solid">
          <fgColor indexed="64"/>
          <bgColor theme="1" tint="0.34998626667073579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0"/>
      </font>
      <numFmt numFmtId="164" formatCode="&quot;$&quot;#,##0.00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0"/>
      </font>
      <numFmt numFmtId="164" formatCode="&quot;$&quot;#,##0.00"/>
      <fill>
        <patternFill patternType="solid">
          <fgColor indexed="64"/>
          <bgColor theme="1" tint="0.34998626667073579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0"/>
      </font>
      <fill>
        <patternFill patternType="solid">
          <fgColor indexed="64"/>
          <bgColor theme="1"/>
        </patternFill>
      </fill>
      <alignment horizontal="left" vertical="center" textRotation="0" wrapText="0" relativeIndent="1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numFmt numFmtId="164" formatCode="&quot;$&quot;#,##0.00"/>
      <fill>
        <patternFill patternType="none">
          <bgColor auto="1"/>
        </patternFill>
      </fill>
      <alignment horizontal="right" vertical="center" textRotation="0" wrapText="0" indent="0" justifyLastLine="0" shrinkToFit="0" readingOrder="0"/>
    </dxf>
    <dxf>
      <font>
        <b/>
      </font>
      <numFmt numFmtId="164" formatCode="&quot;$&quot;#,##0.0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font>
        <b/>
      </font>
      <numFmt numFmtId="164" formatCode="&quot;$&quot;#,##0.0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font>
        <b/>
      </font>
      <numFmt numFmtId="164" formatCode="&quot;$&quot;#,##0.0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font>
        <b/>
      </font>
      <numFmt numFmtId="164" formatCode="&quot;$&quot;#,##0.0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font>
        <b/>
      </font>
      <numFmt numFmtId="164" formatCode="&quot;$&quot;#,##0.0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font>
        <b/>
      </font>
      <numFmt numFmtId="164" formatCode="&quot;$&quot;#,##0.0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numFmt numFmtId="164" formatCode="&quot;$&quot;#,##0.00"/>
      <fill>
        <patternFill patternType="none">
          <bgColor auto="1"/>
        </patternFill>
      </fill>
      <alignment horizontal="right" vertical="center" textRotation="0" wrapText="0" indent="0" justifyLastLine="0" shrinkToFit="0" readingOrder="0"/>
    </dxf>
    <dxf>
      <font>
        <b/>
      </font>
      <numFmt numFmtId="164" formatCode="&quot;$&quot;#,##0.0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font>
        <b/>
      </font>
      <numFmt numFmtId="164" formatCode="&quot;$&quot;#,##0.0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font>
        <b/>
      </font>
      <numFmt numFmtId="164" formatCode="&quot;$&quot;#,##0.0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font>
        <b/>
      </font>
      <numFmt numFmtId="164" formatCode="&quot;$&quot;#,##0.0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font>
        <b/>
      </font>
      <numFmt numFmtId="164" formatCode="&quot;$&quot;#,##0.0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font>
        <b/>
      </font>
      <numFmt numFmtId="164" formatCode="&quot;$&quot;#,##0.0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fill>
        <patternFill patternType="none">
          <bgColor auto="1"/>
        </patternFill>
      </fill>
      <alignment horizontal="left" vertical="center" textRotation="0" wrapText="0" relativeIndent="1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numFmt numFmtId="164" formatCode="&quot;$&quot;#,##0.00"/>
      <fill>
        <patternFill patternType="none">
          <bgColor auto="1"/>
        </patternFill>
      </fill>
      <alignment horizontal="right" vertical="center" textRotation="0" wrapText="0" indent="0" justifyLastLine="0" shrinkToFit="0" readingOrder="0"/>
    </dxf>
    <dxf>
      <font>
        <b/>
      </font>
      <numFmt numFmtId="164" formatCode="&quot;$&quot;#,##0.0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font>
        <b/>
      </font>
      <numFmt numFmtId="164" formatCode="&quot;$&quot;#,##0.0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font>
        <b/>
      </font>
      <numFmt numFmtId="164" formatCode="&quot;$&quot;#,##0.0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font>
        <b/>
      </font>
      <numFmt numFmtId="164" formatCode="&quot;$&quot;#,##0.0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font>
        <b/>
      </font>
      <numFmt numFmtId="164" formatCode="&quot;$&quot;#,##0.0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font>
        <b/>
      </font>
      <numFmt numFmtId="164" formatCode="&quot;$&quot;#,##0.0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fill>
        <patternFill patternType="none">
          <bgColor auto="1"/>
        </patternFill>
      </fill>
      <alignment horizontal="left" vertical="center" textRotation="0" wrapText="0" relativeIndent="1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numFmt numFmtId="164" formatCode="&quot;$&quot;#,##0.00"/>
      <fill>
        <patternFill patternType="none">
          <bgColor auto="1"/>
        </patternFill>
      </fill>
      <alignment horizontal="right" vertical="center" textRotation="0" wrapText="0" indent="0" justifyLastLine="0" shrinkToFit="0" readingOrder="0"/>
    </dxf>
    <dxf>
      <font>
        <b/>
      </font>
      <numFmt numFmtId="164" formatCode="&quot;$&quot;#,##0.0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font>
        <b/>
      </font>
      <numFmt numFmtId="164" formatCode="&quot;$&quot;#,##0.0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font>
        <b/>
      </font>
      <numFmt numFmtId="164" formatCode="&quot;$&quot;#,##0.0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font>
        <b/>
      </font>
      <numFmt numFmtId="164" formatCode="&quot;$&quot;#,##0.0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font>
        <b/>
      </font>
      <numFmt numFmtId="164" formatCode="&quot;$&quot;#,##0.0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font>
        <b/>
      </font>
      <numFmt numFmtId="164" formatCode="&quot;$&quot;#,##0.0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fill>
        <patternFill patternType="none">
          <bgColor auto="1"/>
        </patternFill>
      </fill>
      <alignment horizontal="left" vertical="center" textRotation="0" wrapText="0" relativeIndent="1" justifyLastLine="0" shrinkToFit="0" readingOrder="0"/>
    </dxf>
    <dxf>
      <font>
        <b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numFmt numFmtId="164" formatCode="&quot;$&quot;#,##0.00"/>
      <fill>
        <patternFill patternType="none">
          <bgColor auto="1"/>
        </patternFill>
      </fill>
      <alignment horizontal="right" vertical="center" textRotation="0" wrapText="0" indent="0" justifyLastLine="0" shrinkToFit="0" readingOrder="0"/>
    </dxf>
    <dxf>
      <font>
        <b/>
      </font>
      <numFmt numFmtId="164" formatCode="&quot;$&quot;#,##0.0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font>
        <b/>
      </font>
      <numFmt numFmtId="164" formatCode="&quot;$&quot;#,##0.0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font>
        <b/>
      </font>
      <numFmt numFmtId="164" formatCode="&quot;$&quot;#,##0.0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font>
        <b/>
      </font>
      <numFmt numFmtId="164" formatCode="&quot;$&quot;#,##0.0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font>
        <b/>
      </font>
      <numFmt numFmtId="164" formatCode="&quot;$&quot;#,##0.0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font>
        <b/>
      </font>
      <numFmt numFmtId="164" formatCode="&quot;$&quot;#,##0.0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fill>
        <patternFill patternType="none">
          <bgColor auto="1"/>
        </patternFill>
      </fill>
      <alignment horizontal="left" vertical="center" textRotation="0" wrapText="0" relativeIndent="1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D092F6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FF0000"/>
        <name val="verdana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</border>
    </dxf>
    <dxf>
      <font>
        <b/>
        <strike val="0"/>
        <outline val="0"/>
        <shadow val="0"/>
        <u val="none"/>
        <vertAlign val="baseline"/>
        <sz val="10"/>
        <color rgb="FF00B050"/>
        <name val="verdana"/>
        <family val="2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rgb="FF00B050"/>
        <name val="verdana"/>
        <family val="2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rgb="FF00B050"/>
        <name val="verdana"/>
        <family val="2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rgb="FF00B050"/>
        <name val="verdana"/>
        <family val="2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rgb="FF00B050"/>
        <name val="verdana"/>
        <family val="2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rgb="FF00B050"/>
        <name val="verdana"/>
        <family val="2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rgb="FF00B050"/>
        <name val="verdana"/>
        <family val="2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rgb="FF00B050"/>
        <name val="verdana"/>
        <family val="2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rgb="FF00B050"/>
        <name val="verdana"/>
        <family val="2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rgb="FF00B050"/>
        <name val="verdana"/>
        <family val="2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rgb="FF00B050"/>
        <name val="verdana"/>
        <family val="2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rgb="FF00B050"/>
        <name val="verdana"/>
        <family val="2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rgb="FF00B050"/>
        <name val="verdana"/>
        <family val="2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minor"/>
      </font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verdana"/>
        <family val="2"/>
        <scheme val="minor"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/>
      </font>
      <numFmt numFmtId="164" formatCode="&quot;$&quot;#,##0.00"/>
      <fill>
        <patternFill patternType="solid">
          <fgColor indexed="64"/>
          <bgColor rgb="FFA83A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numFmt numFmtId="164" formatCode="&quot;$&quot;#,##0.00"/>
      <fill>
        <patternFill patternType="solid">
          <fgColor indexed="64"/>
          <bgColor rgb="FFA83AEE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ck">
          <color theme="4"/>
        </left>
        <right/>
        <top/>
        <bottom style="thick">
          <color theme="0"/>
        </bottom>
      </border>
    </dxf>
    <dxf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ck">
          <color theme="5"/>
        </left>
        <right/>
        <top/>
        <bottom style="thick">
          <color theme="0"/>
        </bottom>
      </border>
    </dxf>
    <dxf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ck">
          <color theme="4"/>
        </left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</dxf>
    <dxf>
      <font>
        <u/>
      </font>
    </dxf>
    <dxf>
      <font>
        <b/>
        <i val="0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  <color theme="0"/>
      </font>
      <fill>
        <patternFill>
          <bgColor rgb="FF00B0F0"/>
        </patternFill>
      </fill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u/>
      </font>
    </dxf>
    <dxf>
      <font>
        <b/>
        <i val="0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  <color theme="1"/>
      </font>
      <fill>
        <patternFill>
          <bgColor rgb="FF92D050"/>
        </patternFill>
      </fill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u/>
      </font>
    </dxf>
    <dxf>
      <font>
        <b/>
        <i val="0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  <color theme="0"/>
      </font>
      <fill>
        <patternFill>
          <bgColor rgb="FFE663BD"/>
        </patternFill>
      </fill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u/>
      </font>
    </dxf>
    <dxf>
      <font>
        <b/>
        <i val="0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  <color theme="1"/>
      </font>
      <fill>
        <patternFill>
          <bgColor rgb="FFFBF83D"/>
        </patternFill>
      </fill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ck">
          <color theme="4"/>
        </left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verdana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verdana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5"/>
        </left>
        <right/>
        <top/>
        <bottom style="thick">
          <color theme="0"/>
        </bottom>
      </border>
    </dxf>
    <dxf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ck">
          <color theme="4"/>
        </left>
        <right/>
        <top/>
        <bottom style="thick">
          <color theme="0"/>
        </bottom>
      </border>
    </dxf>
    <dxf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ck">
          <color theme="5"/>
        </left>
        <right/>
        <top/>
        <bottom style="thick">
          <color theme="0"/>
        </bottom>
      </border>
    </dxf>
    <dxf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ck">
          <color theme="5"/>
        </left>
        <right/>
        <top/>
        <bottom style="thick">
          <color theme="0"/>
        </bottom>
      </border>
    </dxf>
    <dxf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ck">
          <color theme="4"/>
        </left>
        <right/>
        <top/>
        <bottom style="thick">
          <color theme="0"/>
        </bottom>
      </border>
    </dxf>
    <dxf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thick">
          <color theme="0"/>
        </bottom>
      </border>
    </dxf>
    <dxf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ck">
          <color theme="5"/>
        </left>
        <right/>
        <top/>
        <bottom style="thick">
          <color theme="0"/>
        </bottom>
      </border>
    </dxf>
    <dxf>
      <font>
        <strike val="0"/>
        <outline val="0"/>
        <shadow val="0"/>
        <u val="none"/>
        <vertAlign val="baseline"/>
        <sz val="10"/>
        <color theme="0"/>
        <family val="2"/>
      </font>
      <fill>
        <patternFill patternType="solid">
          <fgColor indexed="64"/>
          <bgColor theme="1"/>
        </patternFill>
      </fill>
    </dxf>
    <dxf>
      <font>
        <strike val="0"/>
        <outline val="0"/>
        <shadow val="0"/>
        <u val="none"/>
        <vertAlign val="baseline"/>
        <sz val="10"/>
        <color theme="0"/>
        <name val="Gill Sans MT"/>
        <family val="2"/>
        <scheme val="major"/>
      </font>
      <fill>
        <patternFill patternType="solid">
          <fgColor indexed="64"/>
          <bgColor theme="1"/>
        </patternFill>
      </fill>
    </dxf>
    <dxf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theme="0"/>
        </patternFill>
      </fill>
    </dxf>
    <dxf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5" tint="-0.499984740745262"/>
        <name val="verdana"/>
        <family val="2"/>
        <scheme val="minor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5" tint="-0.499984740745262"/>
        <name val="verdana"/>
        <family val="2"/>
        <scheme val="minor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5" tint="-0.499984740745262"/>
        <name val="verdana"/>
        <family val="2"/>
        <scheme val="minor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4" tint="-0.499984740745262"/>
        <name val="verdana"/>
        <family val="2"/>
        <scheme val="minor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 val="0"/>
        <i val="0"/>
        <color theme="6" tint="-0.499984740745262"/>
      </font>
      <fill>
        <patternFill patternType="solid">
          <fgColor theme="6" tint="0.79998168889431442"/>
          <bgColor theme="6" tint="0.79998168889431442"/>
        </patternFill>
      </fill>
    </dxf>
    <dxf>
      <font>
        <b val="0"/>
        <i val="0"/>
        <color theme="6" tint="-0.499984740745262"/>
      </font>
      <fill>
        <patternFill patternType="solid">
          <fgColor theme="6" tint="0.79998168889431442"/>
          <bgColor theme="6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 val="0"/>
        <i val="0"/>
        <color theme="6" tint="-0.499984740745262"/>
      </font>
      <border>
        <top style="thin">
          <color theme="6" tint="-0.24994659260841701"/>
        </top>
      </border>
    </dxf>
    <dxf>
      <font>
        <b val="0"/>
        <i val="0"/>
        <color theme="6" tint="-0.499984740745262"/>
      </font>
      <border>
        <bottom style="thin">
          <color theme="6" tint="-0.24994659260841701"/>
        </bottom>
      </border>
    </dxf>
    <dxf>
      <font>
        <b val="0"/>
        <i val="0"/>
        <color theme="6" tint="-0.499984740745262"/>
      </font>
      <border>
        <top style="thin">
          <color theme="6" tint="-0.24994659260841701"/>
        </top>
        <bottom style="thin">
          <color theme="6" tint="-0.24994659260841701"/>
        </bottom>
      </border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 val="0"/>
        <i val="0"/>
        <color theme="5" tint="-0.499984740745262"/>
      </font>
      <fill>
        <patternFill patternType="solid">
          <fgColor theme="5" tint="0.79998168889431442"/>
          <bgColor theme="5" tint="0.79998168889431442"/>
        </patternFill>
      </fill>
    </dxf>
    <dxf>
      <font>
        <b val="0"/>
        <i val="0"/>
        <color theme="5" tint="-0.499984740745262"/>
      </font>
      <fill>
        <patternFill patternType="solid">
          <fgColor theme="5" tint="0.79998168889431442"/>
          <bgColor theme="5" tint="0.79998168889431442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5" tint="-0.499984740745262"/>
      </font>
    </dxf>
    <dxf>
      <font>
        <b val="0"/>
        <i val="0"/>
        <color theme="5" tint="-0.499984740745262"/>
      </font>
      <border>
        <top style="thin">
          <color theme="5" tint="-0.24994659260841701"/>
        </top>
      </border>
    </dxf>
    <dxf>
      <font>
        <b val="0"/>
        <i val="0"/>
        <color theme="5" tint="-0.499984740745262"/>
      </font>
      <border>
        <bottom style="thin">
          <color theme="5" tint="-0.24994659260841701"/>
        </bottom>
      </border>
    </dxf>
    <dxf>
      <font>
        <b val="0"/>
        <i val="0"/>
        <color theme="5" tint="-0.499984740745262"/>
      </font>
      <border>
        <top style="thin">
          <color theme="5" tint="-0.24994659260841701"/>
        </top>
        <bottom style="thin">
          <color theme="5" tint="-0.24994659260841701"/>
        </bottom>
      </border>
    </dxf>
    <dxf>
      <font>
        <b/>
        <i val="0"/>
        <color theme="4" tint="-0.499984740745262"/>
      </font>
      <fill>
        <patternFill>
          <bgColor theme="4" tint="0.79998168889431442"/>
        </patternFill>
      </fill>
    </dxf>
    <dxf>
      <font>
        <b/>
        <i val="0"/>
        <color theme="4" tint="-0.499984740745262"/>
      </font>
      <fill>
        <patternFill>
          <bgColor theme="4" tint="0.79998168889431442"/>
        </patternFill>
      </fill>
    </dxf>
    <dxf>
      <font>
        <b val="0"/>
        <i val="0"/>
        <color theme="4" tint="-0.499984740745262"/>
      </font>
      <fill>
        <patternFill>
          <bgColor theme="4" tint="0.79998168889431442"/>
        </patternFill>
      </fill>
    </dxf>
    <dxf>
      <font>
        <b val="0"/>
        <i val="0"/>
        <color theme="4" tint="-0.499984740745262"/>
      </font>
      <fill>
        <patternFill patternType="solid">
          <fgColor theme="4" tint="0.79995117038483843"/>
          <bgColor theme="4" tint="0.79998168889431442"/>
        </patternFill>
      </fill>
    </dxf>
    <dxf>
      <font>
        <b/>
        <i val="0"/>
        <color theme="4" tint="-0.499984740745262"/>
      </font>
      <fill>
        <patternFill>
          <bgColor theme="4" tint="0.79998168889431442"/>
        </patternFill>
      </fill>
    </dxf>
    <dxf>
      <font>
        <b/>
        <i val="0"/>
        <color theme="4" tint="-0.499984740745262"/>
      </font>
    </dxf>
    <dxf>
      <font>
        <b val="0"/>
        <i val="0"/>
        <color theme="4" tint="-0.499984740745262"/>
      </font>
      <fill>
        <patternFill patternType="none">
          <bgColor auto="1"/>
        </patternFill>
      </fill>
      <border>
        <top style="thin">
          <color theme="4" tint="-0.24994659260841701"/>
        </top>
      </border>
    </dxf>
    <dxf>
      <border diagonalUp="0" diagonalDown="0">
        <left/>
        <right/>
        <top/>
        <bottom style="thin">
          <color theme="4" tint="-0.499984740745262"/>
        </bottom>
        <vertical/>
        <horizontal/>
      </border>
    </dxf>
    <dxf>
      <font>
        <b val="0"/>
        <i val="0"/>
        <color theme="4" tint="-0.499984740745262"/>
      </font>
      <border>
        <top style="thin">
          <color theme="4" tint="-0.24994659260841701"/>
        </top>
        <bottom style="thin">
          <color theme="4" tint="-0.24994659260841701"/>
        </bottom>
      </border>
    </dxf>
  </dxfs>
  <tableStyles count="7" defaultTableStyle="Personal Budget - Expense" defaultPivotStyle="PivotStyleLight16">
    <tableStyle name="Persona Budget - Revenue" pivot="0" count="9" xr9:uid="{00000000-0011-0000-FFFF-FFFF00000000}">
      <tableStyleElement type="wholeTable" dxfId="812"/>
      <tableStyleElement type="headerRow" dxfId="811"/>
      <tableStyleElement type="totalRow" dxfId="810"/>
      <tableStyleElement type="firstColumn" dxfId="809"/>
      <tableStyleElement type="lastColumn" dxfId="808"/>
      <tableStyleElement type="firstRowStripe" dxfId="807"/>
      <tableStyleElement type="firstColumnStripe" dxfId="806"/>
      <tableStyleElement type="firstTotalCell" dxfId="805"/>
      <tableStyleElement type="lastTotalCell" dxfId="804"/>
    </tableStyle>
    <tableStyle name="Personal Budget - Expense" pivot="0" count="9" xr9:uid="{00000000-0011-0000-FFFF-FFFF01000000}">
      <tableStyleElement type="wholeTable" dxfId="803"/>
      <tableStyleElement type="headerRow" dxfId="802"/>
      <tableStyleElement type="totalRow" dxfId="801"/>
      <tableStyleElement type="firstColumn" dxfId="800"/>
      <tableStyleElement type="lastColumn" dxfId="799"/>
      <tableStyleElement type="firstRowStripe" dxfId="798"/>
      <tableStyleElement type="firstColumnStripe" dxfId="797"/>
      <tableStyleElement type="firstTotalCell" dxfId="796"/>
      <tableStyleElement type="lastTotalCell" dxfId="795"/>
    </tableStyle>
    <tableStyle name="Personal Budget - Total" pivot="0" count="9" xr9:uid="{00000000-0011-0000-FFFF-FFFF02000000}">
      <tableStyleElement type="wholeTable" dxfId="794"/>
      <tableStyleElement type="headerRow" dxfId="793"/>
      <tableStyleElement type="totalRow" dxfId="792"/>
      <tableStyleElement type="firstColumn" dxfId="791"/>
      <tableStyleElement type="lastColumn" dxfId="790"/>
      <tableStyleElement type="firstRowStripe" dxfId="789"/>
      <tableStyleElement type="firstColumnStripe" dxfId="788"/>
      <tableStyleElement type="firstTotalCell" dxfId="787"/>
      <tableStyleElement type="lastTotalCell" dxfId="786"/>
    </tableStyle>
    <tableStyle name="Squawkfox - Category" pivot="0" count="6" xr9:uid="{97CFC02E-83E6-4F73-9C0E-E7B6A1CCD20A}">
      <tableStyleElement type="wholeTable" dxfId="731"/>
      <tableStyleElement type="headerRow" dxfId="730"/>
      <tableStyleElement type="totalRow" dxfId="729"/>
      <tableStyleElement type="firstColumn" dxfId="728"/>
      <tableStyleElement type="lastColumn" dxfId="727"/>
      <tableStyleElement type="firstHeaderCell" dxfId="726"/>
    </tableStyle>
    <tableStyle name="Squawkfox - Income" pivot="0" count="6" xr9:uid="{4F1ABA77-DA1D-4205-8C49-76032157E36B}">
      <tableStyleElement type="wholeTable" dxfId="725"/>
      <tableStyleElement type="headerRow" dxfId="724"/>
      <tableStyleElement type="totalRow" dxfId="723"/>
      <tableStyleElement type="firstColumn" dxfId="722"/>
      <tableStyleElement type="lastColumn" dxfId="721"/>
      <tableStyleElement type="firstHeaderCell" dxfId="720"/>
    </tableStyle>
    <tableStyle name="Squawkfox - Summaries" pivot="0" count="6" xr9:uid="{DB1274F5-DC5D-43EC-BAD8-8DE6E7F1B90B}">
      <tableStyleElement type="wholeTable" dxfId="719"/>
      <tableStyleElement type="headerRow" dxfId="718"/>
      <tableStyleElement type="totalRow" dxfId="717"/>
      <tableStyleElement type="firstColumn" dxfId="716"/>
      <tableStyleElement type="lastColumn" dxfId="715"/>
      <tableStyleElement type="firstHeaderCell" dxfId="714"/>
    </tableStyle>
    <tableStyle name="Squawkfox Expenses" pivot="0" count="6" xr9:uid="{7C9AD207-4EA7-4126-8392-934380331E01}">
      <tableStyleElement type="wholeTable" dxfId="713"/>
      <tableStyleElement type="headerRow" dxfId="712"/>
      <tableStyleElement type="totalRow" dxfId="711"/>
      <tableStyleElement type="firstColumn" dxfId="710"/>
      <tableStyleElement type="lastColumn" dxfId="709"/>
      <tableStyleElement type="firstHeaderCell" dxfId="708"/>
    </tableStyle>
  </tableStyles>
  <colors>
    <mruColors>
      <color rgb="FF9B51E0"/>
      <color rgb="FFF7F7F7"/>
      <color rgb="FFA83AEE"/>
      <color rgb="FFD092F6"/>
      <color rgb="FFF3F8FF"/>
      <color rgb="FFE6F8FA"/>
      <color rgb="FFEFF5FF"/>
      <color rgb="FFD6E8F6"/>
      <color rgb="FFE6EF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Debts by Amount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B9C-4372-8881-CCC8C62FB79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B9C-4372-8881-CCC8C62FB79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B9C-4372-8881-CCC8C62FB79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B9C-4372-8881-CCC8C62FB79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'Jan Debt Freedom Worksheet'!$B$8:$B$15</c:f>
              <c:strCache>
                <c:ptCount val="8"/>
                <c:pt idx="0">
                  <c:v>Paypal Credit Card</c:v>
                </c:pt>
                <c:pt idx="1">
                  <c:v>Home Depot Credit Card</c:v>
                </c:pt>
                <c:pt idx="2">
                  <c:v>AmazonCredit Card</c:v>
                </c:pt>
                <c:pt idx="3">
                  <c:v>VISA Credit Card</c:v>
                </c:pt>
                <c:pt idx="4">
                  <c:v>VISA Credit Card</c:v>
                </c:pt>
                <c:pt idx="5">
                  <c:v>MC Credit Card</c:v>
                </c:pt>
                <c:pt idx="6">
                  <c:v>Car Loan</c:v>
                </c:pt>
                <c:pt idx="7">
                  <c:v>Student Loan</c:v>
                </c:pt>
              </c:strCache>
            </c:strRef>
          </c:cat>
          <c:val>
            <c:numRef>
              <c:f>'Jan Debt Freedom Worksheet'!$C$8:$C$15</c:f>
              <c:numCache>
                <c:formatCode>"$"#,##0.00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B9C-4372-8881-CCC8C62FB797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Debts by Amount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DFE-4BEB-BAEE-BD025303F83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DFE-4BEB-BAEE-BD025303F83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DFE-4BEB-BAEE-BD025303F83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DFE-4BEB-BAEE-BD025303F83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DFE-4BEB-BAEE-BD025303F83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3DFE-4BEB-BAEE-BD025303F83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3DFE-4BEB-BAEE-BD025303F83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3DFE-4BEB-BAEE-BD025303F8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'OCTOBER Debt Freedom'!$B$8:$B$15</c:f>
              <c:strCache>
                <c:ptCount val="8"/>
                <c:pt idx="0">
                  <c:v>Paypal Credit Card</c:v>
                </c:pt>
                <c:pt idx="1">
                  <c:v>Home Depot Credit Card</c:v>
                </c:pt>
                <c:pt idx="2">
                  <c:v>AmazonCredit Card</c:v>
                </c:pt>
                <c:pt idx="3">
                  <c:v>VISA Credit Card</c:v>
                </c:pt>
                <c:pt idx="4">
                  <c:v>VISA Credit Card</c:v>
                </c:pt>
                <c:pt idx="5">
                  <c:v>MC Credit Card</c:v>
                </c:pt>
                <c:pt idx="6">
                  <c:v>Car Loan</c:v>
                </c:pt>
                <c:pt idx="7">
                  <c:v>Student Loan</c:v>
                </c:pt>
              </c:strCache>
            </c:strRef>
          </c:cat>
          <c:val>
            <c:numRef>
              <c:f>'OCTOBER Debt Freedom'!$C$8:$C$15</c:f>
              <c:numCache>
                <c:formatCode>"$"#,##0.00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DFE-4BEB-BAEE-BD025303F83F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Debts by Amount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BC7-4246-9C0B-22EBA61F233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BC7-4246-9C0B-22EBA61F233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BC7-4246-9C0B-22EBA61F233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BC7-4246-9C0B-22EBA61F233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5BC7-4246-9C0B-22EBA61F233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5BC7-4246-9C0B-22EBA61F233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5BC7-4246-9C0B-22EBA61F233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5BC7-4246-9C0B-22EBA61F23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'NOVEMBER Debt Freedom'!$B$8:$B$15</c:f>
              <c:strCache>
                <c:ptCount val="8"/>
                <c:pt idx="0">
                  <c:v>Paypal Credit Card</c:v>
                </c:pt>
                <c:pt idx="1">
                  <c:v>Home Depot Credit Card</c:v>
                </c:pt>
                <c:pt idx="2">
                  <c:v>AmazonCredit Card</c:v>
                </c:pt>
                <c:pt idx="3">
                  <c:v>VISA Credit Card</c:v>
                </c:pt>
                <c:pt idx="4">
                  <c:v>VISA Credit Card</c:v>
                </c:pt>
                <c:pt idx="5">
                  <c:v>MC Credit Card</c:v>
                </c:pt>
                <c:pt idx="6">
                  <c:v>Car Loan</c:v>
                </c:pt>
                <c:pt idx="7">
                  <c:v>Student Loan</c:v>
                </c:pt>
              </c:strCache>
            </c:strRef>
          </c:cat>
          <c:val>
            <c:numRef>
              <c:f>'NOVEMBER Debt Freedom'!$C$8:$C$15</c:f>
              <c:numCache>
                <c:formatCode>"$"#,##0.00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BC7-4246-9C0B-22EBA61F2334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Debts by Amount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873-4FE7-98EA-2EB95F15DE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873-4FE7-98EA-2EB95F15DE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873-4FE7-98EA-2EB95F15DE8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873-4FE7-98EA-2EB95F15DE8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B873-4FE7-98EA-2EB95F15DE8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B873-4FE7-98EA-2EB95F15DE8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B873-4FE7-98EA-2EB95F15DE8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B873-4FE7-98EA-2EB95F15DE8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'DECEMBER Debt Freedom'!$B$8:$B$15</c:f>
              <c:strCache>
                <c:ptCount val="8"/>
                <c:pt idx="0">
                  <c:v>Paypal Credit Card</c:v>
                </c:pt>
                <c:pt idx="1">
                  <c:v>Home Depot Credit Card</c:v>
                </c:pt>
                <c:pt idx="2">
                  <c:v>AmazonCredit Card</c:v>
                </c:pt>
                <c:pt idx="3">
                  <c:v>VISA Credit Card</c:v>
                </c:pt>
                <c:pt idx="4">
                  <c:v>VISA Credit Card</c:v>
                </c:pt>
                <c:pt idx="5">
                  <c:v>MC Credit Card</c:v>
                </c:pt>
                <c:pt idx="6">
                  <c:v>Car Loan</c:v>
                </c:pt>
                <c:pt idx="7">
                  <c:v>Student Loan</c:v>
                </c:pt>
              </c:strCache>
            </c:strRef>
          </c:cat>
          <c:val>
            <c:numRef>
              <c:f>'DECEMBER Debt Freedom'!$C$8:$C$15</c:f>
              <c:numCache>
                <c:formatCode>"$"#,##0.00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873-4FE7-98EA-2EB95F15DE85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Debts by Amount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E97-462B-88E5-10761C6D41F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E97-462B-88E5-10761C6D41F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E97-462B-88E5-10761C6D41F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E97-462B-88E5-10761C6D41F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9E97-462B-88E5-10761C6D41F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9E97-462B-88E5-10761C6D41F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9E97-462B-88E5-10761C6D41F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9E97-462B-88E5-10761C6D41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'FEBRUARY Debt Freedom'!$B$8:$B$15</c:f>
              <c:strCache>
                <c:ptCount val="8"/>
                <c:pt idx="0">
                  <c:v>Paypal Credit Card</c:v>
                </c:pt>
                <c:pt idx="1">
                  <c:v>Home Depot Credit Card</c:v>
                </c:pt>
                <c:pt idx="2">
                  <c:v>AmazonCredit Card</c:v>
                </c:pt>
                <c:pt idx="3">
                  <c:v>VISA Credit Card</c:v>
                </c:pt>
                <c:pt idx="4">
                  <c:v>VISA Credit Card</c:v>
                </c:pt>
                <c:pt idx="5">
                  <c:v>MC Credit Card</c:v>
                </c:pt>
                <c:pt idx="6">
                  <c:v>Car Loan</c:v>
                </c:pt>
                <c:pt idx="7">
                  <c:v>Student Loan</c:v>
                </c:pt>
              </c:strCache>
            </c:strRef>
          </c:cat>
          <c:val>
            <c:numRef>
              <c:f>'FEBRUARY Debt Freedom'!$C$8:$C$15</c:f>
              <c:numCache>
                <c:formatCode>"$"#,##0.00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E97-462B-88E5-10761C6D41F9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Debts by Amount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F79-4D2B-A8FE-E2A70DF745D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F79-4D2B-A8FE-E2A70DF745D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F79-4D2B-A8FE-E2A70DF745D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F79-4D2B-A8FE-E2A70DF745D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F79-4D2B-A8FE-E2A70DF745D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F79-4D2B-A8FE-E2A70DF745D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7F79-4D2B-A8FE-E2A70DF745D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7F79-4D2B-A8FE-E2A70DF745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'MARCH Debt Freedom '!$B$8:$B$15</c:f>
              <c:strCache>
                <c:ptCount val="8"/>
                <c:pt idx="0">
                  <c:v>Paypal Credit Card</c:v>
                </c:pt>
                <c:pt idx="1">
                  <c:v>Home Depot Credit Card</c:v>
                </c:pt>
                <c:pt idx="2">
                  <c:v>AmazonCredit Card</c:v>
                </c:pt>
                <c:pt idx="3">
                  <c:v>VISA Credit Card</c:v>
                </c:pt>
                <c:pt idx="4">
                  <c:v>VISA Credit Card</c:v>
                </c:pt>
                <c:pt idx="5">
                  <c:v>MC Credit Card</c:v>
                </c:pt>
                <c:pt idx="6">
                  <c:v>Car Loan</c:v>
                </c:pt>
                <c:pt idx="7">
                  <c:v>Student Loan</c:v>
                </c:pt>
              </c:strCache>
            </c:strRef>
          </c:cat>
          <c:val>
            <c:numRef>
              <c:f>'MARCH Debt Freedom '!$C$8:$C$15</c:f>
              <c:numCache>
                <c:formatCode>"$"#,##0.00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F79-4D2B-A8FE-E2A70DF745D3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Debts by Amount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1A0-4D98-91BC-8B7434C7535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1A0-4D98-91BC-8B7434C7535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1A0-4D98-91BC-8B7434C7535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1A0-4D98-91BC-8B7434C7535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91A0-4D98-91BC-8B7434C7535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91A0-4D98-91BC-8B7434C7535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91A0-4D98-91BC-8B7434C7535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91A0-4D98-91BC-8B7434C7535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'APRIL Debt Freedom'!$B$8:$B$15</c:f>
              <c:strCache>
                <c:ptCount val="8"/>
                <c:pt idx="0">
                  <c:v>Paypal Credit Card</c:v>
                </c:pt>
                <c:pt idx="1">
                  <c:v>Home Depot Credit Card</c:v>
                </c:pt>
                <c:pt idx="2">
                  <c:v>AmazonCredit Card</c:v>
                </c:pt>
                <c:pt idx="3">
                  <c:v>VISA Credit Card</c:v>
                </c:pt>
                <c:pt idx="4">
                  <c:v>VISA Credit Card</c:v>
                </c:pt>
                <c:pt idx="5">
                  <c:v>MC Credit Card</c:v>
                </c:pt>
                <c:pt idx="6">
                  <c:v>Car Loan</c:v>
                </c:pt>
                <c:pt idx="7">
                  <c:v>Student Loan</c:v>
                </c:pt>
              </c:strCache>
            </c:strRef>
          </c:cat>
          <c:val>
            <c:numRef>
              <c:f>'APRIL Debt Freedom'!$C$8:$C$15</c:f>
              <c:numCache>
                <c:formatCode>"$"#,##0.00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1A0-4D98-91BC-8B7434C7535E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Debts by Amount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7D1-4A73-B397-F53B2808A1D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7D1-4A73-B397-F53B2808A1D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7D1-4A73-B397-F53B2808A1D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7D1-4A73-B397-F53B2808A1D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97D1-4A73-B397-F53B2808A1D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97D1-4A73-B397-F53B2808A1D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97D1-4A73-B397-F53B2808A1D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97D1-4A73-B397-F53B2808A1D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'May Debt Freedom'!$B$8:$B$15</c:f>
              <c:strCache>
                <c:ptCount val="8"/>
                <c:pt idx="0">
                  <c:v>Paypal Credit Card</c:v>
                </c:pt>
                <c:pt idx="1">
                  <c:v>Home Depot Credit Card</c:v>
                </c:pt>
                <c:pt idx="2">
                  <c:v>AmazonCredit Card</c:v>
                </c:pt>
                <c:pt idx="3">
                  <c:v>VISA Credit Card</c:v>
                </c:pt>
                <c:pt idx="4">
                  <c:v>VISA Credit Card</c:v>
                </c:pt>
                <c:pt idx="5">
                  <c:v>MC Credit Card</c:v>
                </c:pt>
                <c:pt idx="6">
                  <c:v>Car Loan</c:v>
                </c:pt>
                <c:pt idx="7">
                  <c:v>Student Loan</c:v>
                </c:pt>
              </c:strCache>
            </c:strRef>
          </c:cat>
          <c:val>
            <c:numRef>
              <c:f>'May Debt Freedom'!$C$8:$C$15</c:f>
              <c:numCache>
                <c:formatCode>"$"#,##0.00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7D1-4A73-B397-F53B2808A1D0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Debts by Amount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A68-4490-B562-17A8D386267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A68-4490-B562-17A8D386267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A68-4490-B562-17A8D386267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A68-4490-B562-17A8D386267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6A68-4490-B562-17A8D386267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6A68-4490-B562-17A8D386267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6A68-4490-B562-17A8D386267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6A68-4490-B562-17A8D386267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'JUNE Debt Freedom'!$B$8:$B$15</c:f>
              <c:strCache>
                <c:ptCount val="8"/>
                <c:pt idx="0">
                  <c:v>Paypal Credit Card</c:v>
                </c:pt>
                <c:pt idx="1">
                  <c:v>Home Depot Credit Card</c:v>
                </c:pt>
                <c:pt idx="2">
                  <c:v>AmazonCredit Card</c:v>
                </c:pt>
                <c:pt idx="3">
                  <c:v>VISA Credit Card</c:v>
                </c:pt>
                <c:pt idx="4">
                  <c:v>VISA Credit Card</c:v>
                </c:pt>
                <c:pt idx="5">
                  <c:v>MC Credit Card</c:v>
                </c:pt>
                <c:pt idx="6">
                  <c:v>Car Loan</c:v>
                </c:pt>
                <c:pt idx="7">
                  <c:v>Student Loan</c:v>
                </c:pt>
              </c:strCache>
            </c:strRef>
          </c:cat>
          <c:val>
            <c:numRef>
              <c:f>'JUNE Debt Freedom'!$C$8:$C$15</c:f>
              <c:numCache>
                <c:formatCode>"$"#,##0.00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A68-4490-B562-17A8D3862670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Debts by Amount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626-4EC1-9812-93B35993247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626-4EC1-9812-93B35993247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626-4EC1-9812-93B35993247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626-4EC1-9812-93B35993247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626-4EC1-9812-93B35993247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E626-4EC1-9812-93B35993247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E626-4EC1-9812-93B35993247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E626-4EC1-9812-93B3599324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'JULY Debt Freedom'!$B$8:$B$15</c:f>
              <c:strCache>
                <c:ptCount val="8"/>
                <c:pt idx="0">
                  <c:v>Paypal Credit Card</c:v>
                </c:pt>
                <c:pt idx="1">
                  <c:v>Home Depot Credit Card</c:v>
                </c:pt>
                <c:pt idx="2">
                  <c:v>AmazonCredit Card</c:v>
                </c:pt>
                <c:pt idx="3">
                  <c:v>VISA Credit Card</c:v>
                </c:pt>
                <c:pt idx="4">
                  <c:v>VISA Credit Card</c:v>
                </c:pt>
                <c:pt idx="5">
                  <c:v>MC Credit Card</c:v>
                </c:pt>
                <c:pt idx="6">
                  <c:v>Car Loan</c:v>
                </c:pt>
                <c:pt idx="7">
                  <c:v>Student Loan</c:v>
                </c:pt>
              </c:strCache>
            </c:strRef>
          </c:cat>
          <c:val>
            <c:numRef>
              <c:f>'JULY Debt Freedom'!$C$8:$C$15</c:f>
              <c:numCache>
                <c:formatCode>"$"#,##0.00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626-4EC1-9812-93B35993247C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Debts by Amount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321-437B-80D2-B009764765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321-437B-80D2-B0097647651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321-437B-80D2-B0097647651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321-437B-80D2-B0097647651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321-437B-80D2-B0097647651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8321-437B-80D2-B0097647651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8321-437B-80D2-B0097647651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8321-437B-80D2-B009764765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'AUGUST Debt Freedom'!$B$8:$B$15</c:f>
              <c:strCache>
                <c:ptCount val="8"/>
                <c:pt idx="0">
                  <c:v>Paypal Credit Card</c:v>
                </c:pt>
                <c:pt idx="1">
                  <c:v>Home Depot Credit Card</c:v>
                </c:pt>
                <c:pt idx="2">
                  <c:v>AmazonCredit Card</c:v>
                </c:pt>
                <c:pt idx="3">
                  <c:v>VISA Credit Card</c:v>
                </c:pt>
                <c:pt idx="4">
                  <c:v>VISA Credit Card</c:v>
                </c:pt>
                <c:pt idx="5">
                  <c:v>MC Credit Card</c:v>
                </c:pt>
                <c:pt idx="6">
                  <c:v>Car Loan</c:v>
                </c:pt>
                <c:pt idx="7">
                  <c:v>Student Loan</c:v>
                </c:pt>
              </c:strCache>
            </c:strRef>
          </c:cat>
          <c:val>
            <c:numRef>
              <c:f>'AUGUST Debt Freedom'!$C$8:$C$15</c:f>
              <c:numCache>
                <c:formatCode>"$"#,##0.00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8321-437B-80D2-B00976476518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Debts by Amount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AA7-438D-BE5E-1A0F9E9FE5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AA7-438D-BE5E-1A0F9E9FE55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AA7-438D-BE5E-1A0F9E9FE55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AA7-438D-BE5E-1A0F9E9FE55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AA7-438D-BE5E-1A0F9E9FE55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EAA7-438D-BE5E-1A0F9E9FE55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EAA7-438D-BE5E-1A0F9E9FE55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EAA7-438D-BE5E-1A0F9E9FE5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'SEPTEMBER Debt Freedom'!$B$8:$B$15</c:f>
              <c:strCache>
                <c:ptCount val="8"/>
                <c:pt idx="0">
                  <c:v>Paypal Credit Card</c:v>
                </c:pt>
                <c:pt idx="1">
                  <c:v>Home Depot Credit Card</c:v>
                </c:pt>
                <c:pt idx="2">
                  <c:v>AmazonCredit Card</c:v>
                </c:pt>
                <c:pt idx="3">
                  <c:v>VISA Credit Card</c:v>
                </c:pt>
                <c:pt idx="4">
                  <c:v>VISA Credit Card</c:v>
                </c:pt>
                <c:pt idx="5">
                  <c:v>MC Credit Card</c:v>
                </c:pt>
                <c:pt idx="6">
                  <c:v>Car Loan</c:v>
                </c:pt>
                <c:pt idx="7">
                  <c:v>Student Loan</c:v>
                </c:pt>
              </c:strCache>
            </c:strRef>
          </c:cat>
          <c:val>
            <c:numRef>
              <c:f>'SEPTEMBER Debt Freedom'!$C$8:$C$15</c:f>
              <c:numCache>
                <c:formatCode>"$"#,##0.00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AA7-438D-BE5E-1A0F9E9FE55F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29765</xdr:colOff>
      <xdr:row>1</xdr:row>
      <xdr:rowOff>188141</xdr:rowOff>
    </xdr:from>
    <xdr:to>
      <xdr:col>17</xdr:col>
      <xdr:colOff>19843</xdr:colOff>
      <xdr:row>2</xdr:row>
      <xdr:rowOff>9526</xdr:rowOff>
    </xdr:to>
    <xdr:sp macro="" textlink="$Q$2">
      <xdr:nvSpPr>
        <xdr:cNvPr id="3" name="Rectangle 2" descr="Year">
          <a:extLst>
            <a:ext uri="{FF2B5EF4-FFF2-40B4-BE49-F238E27FC236}">
              <a16:creationId xmlns:a16="http://schemas.microsoft.com/office/drawing/2014/main" id="{38DB6D2F-4C80-408C-A4C7-B9C2F6BEA823}"/>
            </a:ext>
          </a:extLst>
        </xdr:cNvPr>
        <xdr:cNvSpPr/>
      </xdr:nvSpPr>
      <xdr:spPr>
        <a:xfrm flipH="1">
          <a:off x="15111015" y="346891"/>
          <a:ext cx="932656" cy="267869"/>
        </a:xfrm>
        <a:prstGeom prst="rect">
          <a:avLst/>
        </a:prstGeom>
        <a:solidFill>
          <a:srgbClr val="9B51E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B5844B8A-4141-4FF4-9316-6625FB86BF57}" type="TxLink">
            <a:rPr lang="en-US" sz="1000" b="1" i="0" u="none" strike="noStrike">
              <a:solidFill>
                <a:schemeClr val="bg1"/>
              </a:solidFill>
              <a:latin typeface="verdana"/>
              <a:ea typeface="verdana"/>
              <a:cs typeface="verdana"/>
            </a:rPr>
            <a:pPr algn="ctr"/>
            <a:t>2022</a:t>
          </a:fld>
          <a:endParaRPr lang="en-US" sz="1200" b="1">
            <a:solidFill>
              <a:schemeClr val="bg1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444500</xdr:colOff>
      <xdr:row>38</xdr:row>
      <xdr:rowOff>38100</xdr:rowOff>
    </xdr:from>
    <xdr:to>
      <xdr:col>4</xdr:col>
      <xdr:colOff>368300</xdr:colOff>
      <xdr:row>65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61CBE79-CDF0-452B-B9C4-D41CD3ED3B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444500</xdr:colOff>
      <xdr:row>38</xdr:row>
      <xdr:rowOff>38100</xdr:rowOff>
    </xdr:from>
    <xdr:to>
      <xdr:col>4</xdr:col>
      <xdr:colOff>368300</xdr:colOff>
      <xdr:row>65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209533-C147-42F9-8414-AF9DFCC8C9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444500</xdr:colOff>
      <xdr:row>38</xdr:row>
      <xdr:rowOff>38100</xdr:rowOff>
    </xdr:from>
    <xdr:to>
      <xdr:col>4</xdr:col>
      <xdr:colOff>368300</xdr:colOff>
      <xdr:row>65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ACDB678-BCD4-47DE-8143-3D8FF0535B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444500</xdr:colOff>
      <xdr:row>38</xdr:row>
      <xdr:rowOff>38100</xdr:rowOff>
    </xdr:from>
    <xdr:to>
      <xdr:col>4</xdr:col>
      <xdr:colOff>368300</xdr:colOff>
      <xdr:row>65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DE40FF9-6D26-4891-9166-5221CA0EB2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444500</xdr:colOff>
      <xdr:row>38</xdr:row>
      <xdr:rowOff>38100</xdr:rowOff>
    </xdr:from>
    <xdr:to>
      <xdr:col>4</xdr:col>
      <xdr:colOff>368300</xdr:colOff>
      <xdr:row>65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1A785AC-A30E-4945-8B3D-3C4DFE5851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444500</xdr:colOff>
      <xdr:row>38</xdr:row>
      <xdr:rowOff>38100</xdr:rowOff>
    </xdr:from>
    <xdr:to>
      <xdr:col>4</xdr:col>
      <xdr:colOff>368300</xdr:colOff>
      <xdr:row>65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1F42DC-FA15-4BB5-8A3B-6FDD00C8A0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444500</xdr:colOff>
      <xdr:row>38</xdr:row>
      <xdr:rowOff>38100</xdr:rowOff>
    </xdr:from>
    <xdr:to>
      <xdr:col>4</xdr:col>
      <xdr:colOff>368300</xdr:colOff>
      <xdr:row>65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87E39CF-D45D-4ECD-BE53-30AC1D83C2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444500</xdr:colOff>
      <xdr:row>38</xdr:row>
      <xdr:rowOff>38100</xdr:rowOff>
    </xdr:from>
    <xdr:to>
      <xdr:col>4</xdr:col>
      <xdr:colOff>368300</xdr:colOff>
      <xdr:row>65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6D16DC6-555D-4EF5-943E-65CB914DF8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444500</xdr:colOff>
      <xdr:row>38</xdr:row>
      <xdr:rowOff>38100</xdr:rowOff>
    </xdr:from>
    <xdr:to>
      <xdr:col>4</xdr:col>
      <xdr:colOff>368300</xdr:colOff>
      <xdr:row>65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A02CBE6-F182-4060-85FC-E3387EED1A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444500</xdr:colOff>
      <xdr:row>38</xdr:row>
      <xdr:rowOff>38100</xdr:rowOff>
    </xdr:from>
    <xdr:to>
      <xdr:col>4</xdr:col>
      <xdr:colOff>368300</xdr:colOff>
      <xdr:row>65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B91A502-5213-4D34-B25E-FD2B7B41F6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444500</xdr:colOff>
      <xdr:row>38</xdr:row>
      <xdr:rowOff>38100</xdr:rowOff>
    </xdr:from>
    <xdr:to>
      <xdr:col>4</xdr:col>
      <xdr:colOff>368300</xdr:colOff>
      <xdr:row>65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1A1D6E5-8A0B-490F-B7C7-D769600241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444500</xdr:colOff>
      <xdr:row>38</xdr:row>
      <xdr:rowOff>38100</xdr:rowOff>
    </xdr:from>
    <xdr:to>
      <xdr:col>4</xdr:col>
      <xdr:colOff>368300</xdr:colOff>
      <xdr:row>65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76B4A9F-616B-4AAF-8520-88D4AD6854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Income" displayName="Income" ref="C5:Q9" totalsRowCount="1" headerRowDxfId="785" dataDxfId="784" totalsRowDxfId="783">
  <autoFilter ref="C5:Q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00000000-0010-0000-0000-000001000000}" name="INCOME" totalsRowLabel="Total" totalsRowDxfId="69"/>
    <tableColumn id="2" xr3:uid="{00000000-0010-0000-0000-000002000000}" name="Column1" totalsRowFunction="sum" dataDxfId="568" totalsRowDxfId="68"/>
    <tableColumn id="3" xr3:uid="{00000000-0010-0000-0000-000003000000}" name="February" totalsRowFunction="sum" dataDxfId="567" totalsRowDxfId="67"/>
    <tableColumn id="4" xr3:uid="{00000000-0010-0000-0000-000004000000}" name="March" totalsRowFunction="sum" dataDxfId="566" totalsRowDxfId="66"/>
    <tableColumn id="5" xr3:uid="{00000000-0010-0000-0000-000005000000}" name="April" totalsRowFunction="sum" dataDxfId="565" totalsRowDxfId="65"/>
    <tableColumn id="6" xr3:uid="{00000000-0010-0000-0000-000006000000}" name="May" totalsRowFunction="sum" dataDxfId="564" totalsRowDxfId="64"/>
    <tableColumn id="7" xr3:uid="{00000000-0010-0000-0000-000007000000}" name="June" totalsRowFunction="sum" dataDxfId="563" totalsRowDxfId="63"/>
    <tableColumn id="8" xr3:uid="{00000000-0010-0000-0000-000008000000}" name="July" totalsRowFunction="sum" dataDxfId="562" totalsRowDxfId="62"/>
    <tableColumn id="9" xr3:uid="{00000000-0010-0000-0000-000009000000}" name="August" totalsRowFunction="sum" dataDxfId="561" totalsRowDxfId="61"/>
    <tableColumn id="10" xr3:uid="{00000000-0010-0000-0000-00000A000000}" name="September" totalsRowFunction="sum" dataDxfId="560" totalsRowDxfId="60"/>
    <tableColumn id="11" xr3:uid="{00000000-0010-0000-0000-00000B000000}" name="October" totalsRowFunction="sum" dataDxfId="559" totalsRowDxfId="59"/>
    <tableColumn id="12" xr3:uid="{00000000-0010-0000-0000-00000C000000}" name="November" totalsRowFunction="sum" dataDxfId="558" totalsRowDxfId="58"/>
    <tableColumn id="13" xr3:uid="{00000000-0010-0000-0000-00000D000000}" name="December" totalsRowFunction="sum" dataDxfId="557" totalsRowDxfId="57"/>
    <tableColumn id="14" xr3:uid="{00000000-0010-0000-0000-00000E000000}" name="Year" totalsRowFunction="sum" dataDxfId="556" totalsRowDxfId="56">
      <calculatedColumnFormula>SUM(Income[[#This Row],[Column1]:[December]])</calculatedColumnFormula>
    </tableColumn>
    <tableColumn id="15" xr3:uid="{00000000-0010-0000-0000-00000F000000}" name="Sparkline" totalsRowDxfId="55"/>
  </tableColumns>
  <tableStyleInfo showFirstColumn="1" showLastColumn="0" showRowStripes="0" showColumnStripes="1"/>
  <extLst>
    <ext xmlns:x14="http://schemas.microsoft.com/office/spreadsheetml/2009/9/main" uri="{504A1905-F514-4f6f-8877-14C23A59335A}">
      <x14:table altTextSummary="Enter Income items and monthly amounts in this table. Annual amount and monthly Totals are auto calculated and sparklines are updated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Personal" displayName="Personal" ref="C81:Q87" totalsRowCount="1" headerRowDxfId="758" dataDxfId="757" totalsRowDxfId="756">
  <autoFilter ref="C81:Q86" xr:uid="{00000000-0009-0000-0100-00000A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00000000-0010-0000-0900-000001000000}" name="PERSONAL" totalsRowLabel="Total" dataDxfId="432" totalsRowDxfId="689"/>
    <tableColumn id="2" xr3:uid="{00000000-0010-0000-0900-000002000000}" name="January" totalsRowFunction="sum" dataDxfId="431" totalsRowDxfId="595"/>
    <tableColumn id="3" xr3:uid="{00000000-0010-0000-0900-000003000000}" name="February" totalsRowFunction="sum" dataDxfId="430" totalsRowDxfId="596"/>
    <tableColumn id="4" xr3:uid="{00000000-0010-0000-0900-000004000000}" name="March" totalsRowFunction="sum" dataDxfId="429" totalsRowDxfId="597"/>
    <tableColumn id="5" xr3:uid="{00000000-0010-0000-0900-000005000000}" name="April" totalsRowFunction="sum" dataDxfId="428" totalsRowDxfId="598"/>
    <tableColumn id="6" xr3:uid="{00000000-0010-0000-0900-000006000000}" name="May" totalsRowFunction="sum" dataDxfId="427" totalsRowDxfId="599"/>
    <tableColumn id="7" xr3:uid="{00000000-0010-0000-0900-000007000000}" name="June" totalsRowFunction="sum" dataDxfId="426" totalsRowDxfId="600"/>
    <tableColumn id="8" xr3:uid="{00000000-0010-0000-0900-000008000000}" name="July" totalsRowFunction="sum" dataDxfId="425" totalsRowDxfId="601"/>
    <tableColumn id="9" xr3:uid="{00000000-0010-0000-0900-000009000000}" name="August" totalsRowFunction="sum" dataDxfId="424" totalsRowDxfId="602"/>
    <tableColumn id="10" xr3:uid="{00000000-0010-0000-0900-00000A000000}" name="September" totalsRowFunction="sum" dataDxfId="423" totalsRowDxfId="603"/>
    <tableColumn id="11" xr3:uid="{00000000-0010-0000-0900-00000B000000}" name="October" totalsRowFunction="sum" dataDxfId="422" totalsRowDxfId="604"/>
    <tableColumn id="12" xr3:uid="{00000000-0010-0000-0900-00000C000000}" name="November" totalsRowFunction="sum" dataDxfId="421" totalsRowDxfId="605"/>
    <tableColumn id="13" xr3:uid="{00000000-0010-0000-0900-00000D000000}" name="December" totalsRowFunction="sum" dataDxfId="420" totalsRowDxfId="606"/>
    <tableColumn id="14" xr3:uid="{00000000-0010-0000-0900-00000E000000}" name="Year" totalsRowFunction="sum" dataDxfId="418" totalsRowDxfId="607">
      <calculatedColumnFormula>SUM(Personal[[#This Row],[January]:[December]])</calculatedColumnFormula>
    </tableColumn>
    <tableColumn id="15" xr3:uid="{00000000-0010-0000-0900-00000F000000}" name="Sparkline" dataDxfId="419" totalsRowDxfId="688"/>
  </tableColumns>
  <tableStyleInfo showFirstColumn="1" showLastColumn="0" showRowStripes="0" showColumnStripes="1"/>
  <extLst>
    <ext xmlns:x14="http://schemas.microsoft.com/office/spreadsheetml/2009/9/main" uri="{504A1905-F514-4f6f-8877-14C23A59335A}">
      <x14:table altTextSummary="Enter Personal expenses items and monthly amounts in this table. Annual amount and monthly Totals are auto calculated and sparklines are updated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Financial" displayName="Financial" ref="C89:Q95" totalsRowCount="1" headerRowDxfId="755" dataDxfId="754" totalsRowDxfId="753">
  <autoFilter ref="C89:Q94" xr:uid="{00000000-0009-0000-0100-00000B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00000000-0010-0000-0A00-000001000000}" name="FINANCIAL OBLIGATIONS" totalsRowLabel="Total" dataDxfId="417" totalsRowDxfId="733"/>
    <tableColumn id="2" xr3:uid="{00000000-0010-0000-0A00-000002000000}" name="January" totalsRowFunction="sum" dataDxfId="416" totalsRowDxfId="594"/>
    <tableColumn id="3" xr3:uid="{00000000-0010-0000-0A00-000003000000}" name="February" totalsRowFunction="sum" dataDxfId="415" totalsRowDxfId="593"/>
    <tableColumn id="4" xr3:uid="{00000000-0010-0000-0A00-000004000000}" name="March" totalsRowFunction="sum" dataDxfId="414" totalsRowDxfId="592"/>
    <tableColumn id="5" xr3:uid="{00000000-0010-0000-0A00-000005000000}" name="April" totalsRowFunction="sum" dataDxfId="413" totalsRowDxfId="591"/>
    <tableColumn id="6" xr3:uid="{00000000-0010-0000-0A00-000006000000}" name="May" totalsRowFunction="sum" dataDxfId="412" totalsRowDxfId="590"/>
    <tableColumn id="7" xr3:uid="{00000000-0010-0000-0A00-000007000000}" name="June" totalsRowFunction="sum" dataDxfId="411" totalsRowDxfId="589"/>
    <tableColumn id="8" xr3:uid="{00000000-0010-0000-0A00-000008000000}" name="July" totalsRowFunction="sum" dataDxfId="410" totalsRowDxfId="588"/>
    <tableColumn id="9" xr3:uid="{00000000-0010-0000-0A00-000009000000}" name="August" totalsRowFunction="sum" dataDxfId="409" totalsRowDxfId="587"/>
    <tableColumn id="10" xr3:uid="{00000000-0010-0000-0A00-00000A000000}" name="September" totalsRowFunction="sum" dataDxfId="408" totalsRowDxfId="586"/>
    <tableColumn id="11" xr3:uid="{00000000-0010-0000-0A00-00000B000000}" name="October" totalsRowFunction="sum" dataDxfId="407" totalsRowDxfId="585"/>
    <tableColumn id="12" xr3:uid="{00000000-0010-0000-0A00-00000C000000}" name="November" totalsRowFunction="sum" dataDxfId="406" totalsRowDxfId="584"/>
    <tableColumn id="13" xr3:uid="{00000000-0010-0000-0A00-00000D000000}" name="December" totalsRowFunction="sum" dataDxfId="405" totalsRowDxfId="583"/>
    <tableColumn id="14" xr3:uid="{00000000-0010-0000-0A00-00000E000000}" name="Year" totalsRowFunction="sum" dataDxfId="403" totalsRowDxfId="582">
      <calculatedColumnFormula>SUM(Financial[[#This Row],[January]:[December]])</calculatedColumnFormula>
    </tableColumn>
    <tableColumn id="15" xr3:uid="{00000000-0010-0000-0A00-00000F000000}" name="Sparkline" dataDxfId="404" totalsRowDxfId="732"/>
  </tableColumns>
  <tableStyleInfo showFirstColumn="1" showLastColumn="0" showRowStripes="0" showColumnStripes="1"/>
  <extLst>
    <ext xmlns:x14="http://schemas.microsoft.com/office/spreadsheetml/2009/9/main" uri="{504A1905-F514-4f6f-8877-14C23A59335A}">
      <x14:table altTextSummary="Enter Financial Obligations items and monthly amounts in this table. Annual amount and monthly Totals are auto calculated and sparklines are updated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Misc" displayName="Misc" ref="C97:Q103" totalsRowCount="1" headerRowDxfId="752" dataDxfId="751" totalsRowDxfId="750">
  <autoFilter ref="C97:Q102" xr:uid="{00000000-0009-0000-0100-00000C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00000000-0010-0000-0B00-000001000000}" name="MISC PAYMENTS" totalsRowLabel="Total" totalsRowDxfId="749"/>
    <tableColumn id="2" xr3:uid="{00000000-0010-0000-0B00-000002000000}" name="January" totalsRowFunction="sum" dataDxfId="402" totalsRowDxfId="569"/>
    <tableColumn id="3" xr3:uid="{00000000-0010-0000-0B00-000003000000}" name="February" totalsRowFunction="sum" dataDxfId="401" totalsRowDxfId="570"/>
    <tableColumn id="4" xr3:uid="{00000000-0010-0000-0B00-000004000000}" name="March" totalsRowFunction="sum" dataDxfId="400" totalsRowDxfId="571"/>
    <tableColumn id="5" xr3:uid="{00000000-0010-0000-0B00-000005000000}" name="April" totalsRowFunction="sum" dataDxfId="399" totalsRowDxfId="572"/>
    <tableColumn id="6" xr3:uid="{00000000-0010-0000-0B00-000006000000}" name="May" totalsRowFunction="sum" dataDxfId="398" totalsRowDxfId="573"/>
    <tableColumn id="7" xr3:uid="{00000000-0010-0000-0B00-000007000000}" name="June" totalsRowFunction="sum" dataDxfId="397" totalsRowDxfId="574"/>
    <tableColumn id="8" xr3:uid="{00000000-0010-0000-0B00-000008000000}" name="July" totalsRowFunction="sum" dataDxfId="396" totalsRowDxfId="575"/>
    <tableColumn id="9" xr3:uid="{00000000-0010-0000-0B00-000009000000}" name="August" totalsRowFunction="sum" dataDxfId="395" totalsRowDxfId="576"/>
    <tableColumn id="10" xr3:uid="{00000000-0010-0000-0B00-00000A000000}" name="September" totalsRowFunction="sum" dataDxfId="394" totalsRowDxfId="577"/>
    <tableColumn id="11" xr3:uid="{00000000-0010-0000-0B00-00000B000000}" name="October" totalsRowFunction="sum" dataDxfId="393" totalsRowDxfId="578"/>
    <tableColumn id="12" xr3:uid="{00000000-0010-0000-0B00-00000C000000}" name="November" totalsRowFunction="sum" dataDxfId="392" totalsRowDxfId="579"/>
    <tableColumn id="13" xr3:uid="{00000000-0010-0000-0B00-00000D000000}" name="December" totalsRowFunction="sum" dataDxfId="391" totalsRowDxfId="580"/>
    <tableColumn id="14" xr3:uid="{00000000-0010-0000-0B00-00000E000000}" name="Year" totalsRowFunction="sum" dataDxfId="389" totalsRowDxfId="581">
      <calculatedColumnFormula>SUM(Misc[[#This Row],[January]:[December]])</calculatedColumnFormula>
    </tableColumn>
    <tableColumn id="15" xr3:uid="{00000000-0010-0000-0B00-00000F000000}" name="Sparkline" dataDxfId="390" totalsRowDxfId="748"/>
  </tableColumns>
  <tableStyleInfo showFirstColumn="1" showLastColumn="0" showRowStripes="0" showColumnStripes="1"/>
  <extLst>
    <ext xmlns:x14="http://schemas.microsoft.com/office/spreadsheetml/2009/9/main" uri="{504A1905-F514-4f6f-8877-14C23A59335A}">
      <x14:table altTextSummary="Enter Miscellaneous items and payments in this table. Annual amount and monthly Totals are auto calculated and sparklines are updated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otals" displayName="Totals" ref="C105:Q107" totalsRowShown="0" headerRowDxfId="747" dataDxfId="746" headerRowCellStyle="Heading 3">
  <tableColumns count="15">
    <tableColumn id="1" xr3:uid="{00000000-0010-0000-0C00-000001000000}" name="TOTALS" dataDxfId="388"/>
    <tableColumn id="2" xr3:uid="{00000000-0010-0000-0C00-000002000000}" name="JAN" dataDxfId="387">
      <calculatedColumnFormula>Income[[#Totals],[Column1]]-D105</calculatedColumnFormula>
    </tableColumn>
    <tableColumn id="3" xr3:uid="{00000000-0010-0000-0C00-000003000000}" name="FEB" dataDxfId="386">
      <calculatedColumnFormula>Income[[#Totals],[February]]-E105</calculatedColumnFormula>
    </tableColumn>
    <tableColumn id="4" xr3:uid="{00000000-0010-0000-0C00-000004000000}" name="MAR" dataDxfId="385">
      <calculatedColumnFormula>Income[[#Totals],[March]]-F105</calculatedColumnFormula>
    </tableColumn>
    <tableColumn id="5" xr3:uid="{00000000-0010-0000-0C00-000005000000}" name="APR" dataDxfId="384">
      <calculatedColumnFormula>Income[[#Totals],[April]]-G105</calculatedColumnFormula>
    </tableColumn>
    <tableColumn id="6" xr3:uid="{00000000-0010-0000-0C00-000006000000}" name="MAY" dataDxfId="383">
      <calculatedColumnFormula>Income[[#Totals],[May]]-H105</calculatedColumnFormula>
    </tableColumn>
    <tableColumn id="7" xr3:uid="{00000000-0010-0000-0C00-000007000000}" name="JUN" dataDxfId="382">
      <calculatedColumnFormula>Income[[#Totals],[June]]-I105</calculatedColumnFormula>
    </tableColumn>
    <tableColumn id="8" xr3:uid="{00000000-0010-0000-0C00-000008000000}" name="JUL" dataDxfId="381">
      <calculatedColumnFormula>Income[[#Totals],[July]]-J105</calculatedColumnFormula>
    </tableColumn>
    <tableColumn id="9" xr3:uid="{00000000-0010-0000-0C00-000009000000}" name="AUG" dataDxfId="380">
      <calculatedColumnFormula>Income[[#Totals],[August]]-K105</calculatedColumnFormula>
    </tableColumn>
    <tableColumn id="10" xr3:uid="{00000000-0010-0000-0C00-00000A000000}" name="SEP" dataDxfId="379">
      <calculatedColumnFormula>Income[[#Totals],[September]]-L105</calculatedColumnFormula>
    </tableColumn>
    <tableColumn id="11" xr3:uid="{00000000-0010-0000-0C00-00000B000000}" name="OCT" dataDxfId="378">
      <calculatedColumnFormula>Income[[#Totals],[October]]-M105</calculatedColumnFormula>
    </tableColumn>
    <tableColumn id="12" xr3:uid="{00000000-0010-0000-0C00-00000C000000}" name="NOV" dataDxfId="377">
      <calculatedColumnFormula>Income[[#Totals],[November]]-N105</calculatedColumnFormula>
    </tableColumn>
    <tableColumn id="13" xr3:uid="{00000000-0010-0000-0C00-00000D000000}" name="DEC" dataDxfId="376">
      <calculatedColumnFormula>Income[[#Totals],[December]]-O105</calculatedColumnFormula>
    </tableColumn>
    <tableColumn id="14" xr3:uid="{00000000-0010-0000-0C00-00000E000000}" name="YEAR" dataDxfId="374">
      <calculatedColumnFormula>Income[[#Totals],[Year]]-P105</calculatedColumnFormula>
    </tableColumn>
    <tableColumn id="15" xr3:uid="{00000000-0010-0000-0C00-00000F000000}" name="SPARKLINE" dataDxfId="375"/>
  </tableColumns>
  <tableStyleInfo showFirstColumn="1" showLastColumn="0" showRowStripes="0" showColumnStripes="1"/>
  <extLst>
    <ext xmlns:x14="http://schemas.microsoft.com/office/spreadsheetml/2009/9/main" uri="{504A1905-F514-4f6f-8877-14C23A59335A}">
      <x14:table altTextSummary="Total expenses and Cash shortage or surplus are auto calculated for each month and entire year, and sparklines are updated in this table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6BF27BF9-6932-4DE7-A14B-527585546E9A}" name="Debts" displayName="Debts" ref="B7:F16" totalsRowCount="1" dataDxfId="359">
  <autoFilter ref="B7:F15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000-000001000000}" name="Creditor" totalsRowLabel="Total" dataDxfId="358" totalsRowDxfId="54"/>
    <tableColumn id="2" xr3:uid="{00000000-0010-0000-0000-000002000000}" name="Balance" totalsRowFunction="sum" dataDxfId="357" totalsRowDxfId="53"/>
    <tableColumn id="3" xr3:uid="{00000000-0010-0000-0000-000003000000}" name="Interest Rate" totalsRowFunction="custom" dataDxfId="356" totalsRowDxfId="52">
      <totalsRowFormula>SUMPRODUCT(Debts[Balance],Debts[Interest Rate])/SUM(Debts[Balance])</totalsRowFormula>
    </tableColumn>
    <tableColumn id="5" xr3:uid="{00000000-0010-0000-0000-000005000000}" name="Monthly Payment" totalsRowFunction="sum" dataDxfId="355" totalsRowDxfId="51"/>
    <tableColumn id="6" xr3:uid="{00000000-0010-0000-0000-000006000000}" name="% of Total" totalsRowFunction="sum" dataDxfId="354" totalsRowDxfId="50">
      <calculatedColumnFormula>IF(C8&gt;0, C8/SUM($C$8:$C$28), "")</calculatedColumnFormula>
    </tableColumn>
  </tableColumns>
  <tableStyleInfo name="Squawkfox Expenses" showFirstColumn="1" showLastColumn="1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873A4BE-46B6-46A0-B79C-D1EC6FB2ACF7}" name="Summary" displayName="Summary" ref="B29:C37" totalsRowShown="0">
  <autoFilter ref="B29:C37" xr:uid="{00000000-0009-0000-0100-000010000000}">
    <filterColumn colId="0" hiddenButton="1"/>
    <filterColumn colId="1" hiddenButton="1"/>
  </autoFilter>
  <tableColumns count="2">
    <tableColumn id="1" xr3:uid="{00000000-0010-0000-0100-000001000000}" name=" " dataDxfId="707"/>
    <tableColumn id="2" xr3:uid="{00000000-0010-0000-0100-000002000000}" name="Amount" dataDxfId="706"/>
  </tableColumns>
  <tableStyleInfo name="Squawkfox - Income" showFirstColumn="1" showLastColumn="1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67CA97C4-B96C-4B56-B76A-4DAF944AAA74}" name="Budget" displayName="Budget" ref="B22:C23" totalsRowShown="0">
  <autoFilter ref="B22:C23" xr:uid="{00000000-0009-0000-0100-000011000000}">
    <filterColumn colId="0" hiddenButton="1"/>
    <filterColumn colId="1" hiddenButton="1"/>
  </autoFilter>
  <tableColumns count="2">
    <tableColumn id="1" xr3:uid="{00000000-0010-0000-0200-000001000000}" name=" " dataDxfId="360"/>
    <tableColumn id="2" xr3:uid="{00000000-0010-0000-0200-000002000000}" name="Amount" dataDxfId="325">
      <calculatedColumnFormula>'PERSONAL BUDGET'!D109</calculatedColumnFormula>
    </tableColumn>
  </tableColumns>
  <tableStyleInfo name="Squawkfox - Summaries" showFirstColumn="1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94235DA0-0731-4939-9E26-E21997429DEF}" name="Table19" displayName="Table19" ref="B72:F73" totalsRowShown="0" headerRowDxfId="705" dataDxfId="704">
  <autoFilter ref="B72:F73" xr:uid="{00000000-0009-0000-0100-000013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300-000001000000}" name="Creditor" dataDxfId="703">
      <calculatedColumnFormula>INDEX(Debts[[Creditor]:[Monthly Payment]], MATCH(MAX(Debts[Interest Rate]),Debts[Interest Rate], 0), 1)</calculatedColumnFormula>
    </tableColumn>
    <tableColumn id="2" xr3:uid="{00000000-0010-0000-0300-000002000000}" name="Balance" dataDxfId="702">
      <calculatedColumnFormula>INDEX(Debts[[Creditor]:[Monthly Payment]], MATCH(MAX(Debts[Interest Rate]),Debts[Interest Rate], 0), 2)</calculatedColumnFormula>
    </tableColumn>
    <tableColumn id="3" xr3:uid="{00000000-0010-0000-0300-000003000000}" name="Interest Rate" dataDxfId="701">
      <calculatedColumnFormula>INDEX(Debts[[Creditor]:[Monthly Payment]], MATCH(MAX(Debts[Interest Rate]),Debts[Interest Rate], 0), 3)</calculatedColumnFormula>
    </tableColumn>
    <tableColumn id="4" xr3:uid="{00000000-0010-0000-0300-000004000000}" name="Monthly Payment" dataDxfId="700">
      <calculatedColumnFormula>INDEX(Debts[[Creditor]:[Monthly Payment]], MATCH(MAX(Debts[Interest Rate]),Debts[Interest Rate], 0), 4)</calculatedColumnFormula>
    </tableColumn>
    <tableColumn id="5" xr3:uid="{00000000-0010-0000-0300-000005000000}" name="New Payment" dataDxfId="699">
      <calculatedColumnFormula>INDEX(Debts[[Creditor]:[Monthly Payment]], MATCH(MAX(Debts[Interest Rate]),Debts[Interest Rate], 0), 4) + $C$37</calculatedColumnFormula>
    </tableColumn>
  </tableColumns>
  <tableStyleInfo name="Squawkfox - Category" showFirstColumn="0" showLastColumn="0" showRowStripes="0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2D125D08-78CC-4DAA-9722-BFAAD3921DE5}" name="Table20" displayName="Table20" ref="B77:F78" totalsRowShown="0" headerRowDxfId="698" dataDxfId="697">
  <autoFilter ref="B77:F78" xr:uid="{00000000-0009-0000-0100-000014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400-000001000000}" name="Creditor" dataDxfId="696">
      <calculatedColumnFormula>INDEX(Debts[[Creditor]:[Monthly Payment]], MATCH(MIN(Debts[Balance]),Debts[Balance], 0), 1)</calculatedColumnFormula>
    </tableColumn>
    <tableColumn id="2" xr3:uid="{00000000-0010-0000-0400-000002000000}" name="Balance" dataDxfId="695">
      <calculatedColumnFormula>INDEX(Debts[[Creditor]:[Monthly Payment]], MATCH(MIN(Debts[Balance]),Debts[Balance], 0), 2)</calculatedColumnFormula>
    </tableColumn>
    <tableColumn id="3" xr3:uid="{00000000-0010-0000-0400-000003000000}" name="Interest Rate" dataDxfId="694">
      <calculatedColumnFormula>INDEX(Debts[[Creditor]:[Monthly Payment]], MATCH(MIN(Debts[Balance]),Debts[Balance], 0), 3)</calculatedColumnFormula>
    </tableColumn>
    <tableColumn id="4" xr3:uid="{00000000-0010-0000-0400-000004000000}" name="Monthly Payment" dataDxfId="693">
      <calculatedColumnFormula>INDEX(Debts[[Creditor]:[Monthly Payment]], MATCH(MIN(Debts[Balance]),Debts[Balance], 0), 4)</calculatedColumnFormula>
    </tableColumn>
    <tableColumn id="5" xr3:uid="{00000000-0010-0000-0400-000005000000}" name="New Payment" dataDxfId="692">
      <calculatedColumnFormula>INDEX(Debts[[Creditor]:[Monthly Payment]], MATCH(MIN(Debts[Balance]),Debts[Balance], 0), 4) + $C$37</calculatedColumnFormula>
    </tableColumn>
  </tableColumns>
  <tableStyleInfo name="Squawkfox - Category" showFirstColumn="0" showLastColumn="0" showRowStripes="0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DA00BE72-3D9C-4B71-B269-0D154AC27480}" name="Debts20" displayName="Debts20" ref="B7:F16" totalsRowCount="1" dataDxfId="349">
  <autoFilter ref="B7:F15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48286271-281F-4F75-B881-1FE15DA61A12}" name="Creditor" totalsRowLabel="Total" dataDxfId="348" totalsRowDxfId="74"/>
    <tableColumn id="2" xr3:uid="{E1E921BD-6344-4159-B8EE-75C4F87003A4}" name="Balance" totalsRowFunction="sum" dataDxfId="347" totalsRowDxfId="73"/>
    <tableColumn id="3" xr3:uid="{3A152A11-A7C4-41D3-82EE-8E5F70F7C3AF}" name="Interest Rate" totalsRowFunction="custom" dataDxfId="346" totalsRowDxfId="72">
      <totalsRowFormula>SUMPRODUCT(Debts20[Balance],Debts20[Interest Rate])/SUM(Debts20[Balance])</totalsRowFormula>
    </tableColumn>
    <tableColumn id="5" xr3:uid="{5AB78D96-E61A-424E-8FDC-8868DB01B469}" name="Monthly Payment" totalsRowFunction="sum" dataDxfId="345" totalsRowDxfId="71"/>
    <tableColumn id="6" xr3:uid="{D6DB0788-1CBC-43A0-9C80-9AB97A48BB44}" name="% of Total" totalsRowFunction="sum" dataDxfId="344" totalsRowDxfId="70">
      <calculatedColumnFormula>IF(C8&gt;0, C8/SUM($C$8:$C$28), "")</calculatedColumnFormula>
    </tableColumn>
  </tableColumns>
  <tableStyleInfo name="Squawkfox Expenses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Home" displayName="Home" ref="C12:Q18" totalsRowCount="1" headerRowDxfId="782" dataDxfId="781" totalsRowDxfId="780">
  <autoFilter ref="C12:Q17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00000000-0010-0000-0100-000001000000}" name="HOME" totalsRowLabel="Total" dataDxfId="555" totalsRowDxfId="735"/>
    <tableColumn id="2" xr3:uid="{00000000-0010-0000-0100-000002000000}" name="January" totalsRowFunction="sum" dataDxfId="554" totalsRowDxfId="373"/>
    <tableColumn id="3" xr3:uid="{00000000-0010-0000-0100-000003000000}" name="February" totalsRowFunction="sum" dataDxfId="553" totalsRowDxfId="372"/>
    <tableColumn id="4" xr3:uid="{00000000-0010-0000-0100-000004000000}" name="March" totalsRowFunction="sum" dataDxfId="552" totalsRowDxfId="371"/>
    <tableColumn id="5" xr3:uid="{00000000-0010-0000-0100-000005000000}" name="April" totalsRowFunction="sum" dataDxfId="551" totalsRowDxfId="370"/>
    <tableColumn id="6" xr3:uid="{00000000-0010-0000-0100-000006000000}" name="May" totalsRowFunction="sum" dataDxfId="550" totalsRowDxfId="369"/>
    <tableColumn id="7" xr3:uid="{00000000-0010-0000-0100-000007000000}" name="June" totalsRowFunction="sum" dataDxfId="549" totalsRowDxfId="368"/>
    <tableColumn id="8" xr3:uid="{00000000-0010-0000-0100-000008000000}" name="July" totalsRowFunction="sum" dataDxfId="548" totalsRowDxfId="367"/>
    <tableColumn id="9" xr3:uid="{00000000-0010-0000-0100-000009000000}" name="August" totalsRowFunction="sum" dataDxfId="547" totalsRowDxfId="366"/>
    <tableColumn id="10" xr3:uid="{00000000-0010-0000-0100-00000A000000}" name="September" totalsRowFunction="sum" dataDxfId="546" totalsRowDxfId="365"/>
    <tableColumn id="11" xr3:uid="{00000000-0010-0000-0100-00000B000000}" name="October" totalsRowFunction="sum" dataDxfId="545" totalsRowDxfId="364"/>
    <tableColumn id="12" xr3:uid="{00000000-0010-0000-0100-00000C000000}" name="November" totalsRowFunction="sum" dataDxfId="544" totalsRowDxfId="363"/>
    <tableColumn id="13" xr3:uid="{00000000-0010-0000-0100-00000D000000}" name="December" totalsRowFunction="sum" dataDxfId="543" totalsRowDxfId="362"/>
    <tableColumn id="14" xr3:uid="{00000000-0010-0000-0100-00000E000000}" name="Year" totalsRowFunction="sum" dataDxfId="541" totalsRowDxfId="361">
      <calculatedColumnFormula>SUM(Home[[#This Row],[January]:[December]])</calculatedColumnFormula>
    </tableColumn>
    <tableColumn id="15" xr3:uid="{00000000-0010-0000-0100-00000F000000}" name="Sparkline" dataDxfId="542" totalsRowDxfId="734"/>
  </tableColumns>
  <tableStyleInfo showFirstColumn="1" showLastColumn="0" showRowStripes="0" showColumnStripes="1"/>
  <extLst>
    <ext xmlns:x14="http://schemas.microsoft.com/office/spreadsheetml/2009/9/main" uri="{504A1905-F514-4f6f-8877-14C23A59335A}">
      <x14:table altTextSummary="Enter Home expense items and monthly amounts in this table. Annual amount and monthly Totals are auto calculated and sparklines are updated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64115273-B9C1-4320-BE4D-7E9DA586CB89}" name="Summary21" displayName="Summary21" ref="B29:C37" totalsRowShown="0">
  <autoFilter ref="B29:C37" xr:uid="{00000000-0009-0000-0100-000010000000}">
    <filterColumn colId="0" hiddenButton="1"/>
    <filterColumn colId="1" hiddenButton="1"/>
  </autoFilter>
  <tableColumns count="2">
    <tableColumn id="1" xr3:uid="{95006C50-AA45-437B-A87A-E4156986E901}" name=" " dataDxfId="343"/>
    <tableColumn id="2" xr3:uid="{15969CFF-D453-4010-AB9F-688CB6753824}" name="Amount" dataDxfId="342"/>
  </tableColumns>
  <tableStyleInfo name="Squawkfox - Income" showFirstColumn="1" showLastColumn="1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B7D204A-5D20-4DA4-B9DA-DC28657AD99C}" name="Budget22" displayName="Budget22" ref="B22:C23" totalsRowShown="0">
  <autoFilter ref="B22:C23" xr:uid="{00000000-0009-0000-0100-000011000000}">
    <filterColumn colId="0" hiddenButton="1"/>
    <filterColumn colId="1" hiddenButton="1"/>
  </autoFilter>
  <tableColumns count="2">
    <tableColumn id="1" xr3:uid="{64CD760E-C23F-4EDB-90F7-AEEE089C648A}" name=" " dataDxfId="341"/>
    <tableColumn id="2" xr3:uid="{5B8F4E3C-0613-43F9-B0AE-BABEF93E64B6}" name="Amount" dataDxfId="340">
      <calculatedColumnFormula>'PERSONAL BUDGET'!E109</calculatedColumnFormula>
    </tableColumn>
  </tableColumns>
  <tableStyleInfo name="Squawkfox - Summaries" showFirstColumn="1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4C3AE519-191A-449E-9D97-6D2FB8835C61}" name="Table1923" displayName="Table1923" ref="B72:F73" totalsRowShown="0" headerRowDxfId="339" dataDxfId="338">
  <autoFilter ref="B72:F73" xr:uid="{00000000-0009-0000-0100-000013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CFDC1687-03E2-4E15-AB7F-E0F243EFAE96}" name="Creditor" dataDxfId="337">
      <calculatedColumnFormula>INDEX(Debts20[[Creditor]:[Monthly Payment]], MATCH(MAX(Debts20[Interest Rate]),Debts20[Interest Rate], 0), 1)</calculatedColumnFormula>
    </tableColumn>
    <tableColumn id="2" xr3:uid="{F91988E6-6E9B-4F46-909B-F1F587FC59BF}" name="Balance" dataDxfId="336">
      <calculatedColumnFormula>INDEX(Debts20[[Creditor]:[Monthly Payment]], MATCH(MAX(Debts20[Interest Rate]),Debts20[Interest Rate], 0), 2)</calculatedColumnFormula>
    </tableColumn>
    <tableColumn id="3" xr3:uid="{93D50866-C9F4-46AC-90F5-70B66012ED8E}" name="Interest Rate" dataDxfId="335">
      <calculatedColumnFormula>INDEX(Debts20[[Creditor]:[Monthly Payment]], MATCH(MAX(Debts20[Interest Rate]),Debts20[Interest Rate], 0), 3)</calculatedColumnFormula>
    </tableColumn>
    <tableColumn id="4" xr3:uid="{E796269F-69AD-45F5-A376-4025625168F5}" name="Monthly Payment" dataDxfId="334">
      <calculatedColumnFormula>INDEX(Debts20[[Creditor]:[Monthly Payment]], MATCH(MAX(Debts20[Interest Rate]),Debts20[Interest Rate], 0), 4)</calculatedColumnFormula>
    </tableColumn>
    <tableColumn id="5" xr3:uid="{04E0908D-13E0-484B-A75C-DA954EF842FD}" name="New Payment" dataDxfId="333">
      <calculatedColumnFormula>INDEX(Debts20[[Creditor]:[Monthly Payment]], MATCH(MAX(Debts20[Interest Rate]),Debts20[Interest Rate], 0), 4) + $C$37</calculatedColumnFormula>
    </tableColumn>
  </tableColumns>
  <tableStyleInfo name="Squawkfox - Category" showFirstColumn="0" showLastColumn="0" showRowStripes="0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F8FDF88-2A73-4FF7-863A-6F74EDDEDF4D}" name="Table2024" displayName="Table2024" ref="B77:F78" totalsRowShown="0" headerRowDxfId="332" dataDxfId="331">
  <autoFilter ref="B77:F78" xr:uid="{00000000-0009-0000-0100-000014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7406B801-402C-46E1-8EA2-7D8DFCE8DF11}" name="Creditor" dataDxfId="330">
      <calculatedColumnFormula>INDEX(Debts20[[Creditor]:[Monthly Payment]], MATCH(MIN(Debts20[Balance]),Debts20[Balance], 0), 1)</calculatedColumnFormula>
    </tableColumn>
    <tableColumn id="2" xr3:uid="{24C7813A-3552-4B64-B173-E5F5B2E7940F}" name="Balance" dataDxfId="329">
      <calculatedColumnFormula>INDEX(Debts20[[Creditor]:[Monthly Payment]], MATCH(MIN(Debts20[Balance]),Debts20[Balance], 0), 2)</calculatedColumnFormula>
    </tableColumn>
    <tableColumn id="3" xr3:uid="{1B947EDC-F13B-4098-B7C8-4EB83B3609F6}" name="Interest Rate" dataDxfId="328">
      <calculatedColumnFormula>INDEX(Debts20[[Creditor]:[Monthly Payment]], MATCH(MIN(Debts20[Balance]),Debts20[Balance], 0), 3)</calculatedColumnFormula>
    </tableColumn>
    <tableColumn id="4" xr3:uid="{38ACFBC6-4AAC-4745-BFB4-7C319D307ADD}" name="Monthly Payment" dataDxfId="327">
      <calculatedColumnFormula>INDEX(Debts20[[Creditor]:[Monthly Payment]], MATCH(MIN(Debts20[Balance]),Debts20[Balance], 0), 4)</calculatedColumnFormula>
    </tableColumn>
    <tableColumn id="5" xr3:uid="{7A096F41-E378-4B2D-83FE-FA311A74B25F}" name="New Payment" dataDxfId="326">
      <calculatedColumnFormula>INDEX(Debts20[[Creditor]:[Monthly Payment]], MATCH(MIN(Debts20[Balance]),Debts20[Balance], 0), 4) + $C$37</calculatedColumnFormula>
    </tableColumn>
  </tableColumns>
  <tableStyleInfo name="Squawkfox - Category" showFirstColumn="0" showLastColumn="0" showRowStripes="0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C224D916-58A5-42C1-8B6B-E4F64F58A8DE}" name="Debts2025" displayName="Debts2025" ref="B7:F16" totalsRowCount="1" dataDxfId="323">
  <autoFilter ref="B7:F15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C46B7456-8115-411D-AB1F-ADCC05D37237}" name="Creditor" totalsRowLabel="Total" dataDxfId="322" totalsRowDxfId="49"/>
    <tableColumn id="2" xr3:uid="{30D0DCD2-CFB3-4A6D-999D-5780DD49E1C5}" name="Balance" totalsRowFunction="sum" dataDxfId="321" totalsRowDxfId="48"/>
    <tableColumn id="3" xr3:uid="{BD430CFA-10D1-43CE-B394-DEDBAFB69FA9}" name="Interest Rate" totalsRowFunction="custom" dataDxfId="320" totalsRowDxfId="47">
      <totalsRowFormula>SUMPRODUCT(Debts2025[Balance],Debts2025[Interest Rate])/SUM(Debts2025[Balance])</totalsRowFormula>
    </tableColumn>
    <tableColumn id="5" xr3:uid="{97F312B2-0FAF-4D6F-893E-A1C8FE4CAF49}" name="Monthly Payment" totalsRowFunction="sum" dataDxfId="319" totalsRowDxfId="46"/>
    <tableColumn id="6" xr3:uid="{71F681B2-CF79-41AF-BF36-4FF765C0B868}" name="% of Total" totalsRowFunction="sum" dataDxfId="318" totalsRowDxfId="45">
      <calculatedColumnFormula>IF(C8&gt;0, C8/SUM($C$8:$C$28), "")</calculatedColumnFormula>
    </tableColumn>
  </tableColumns>
  <tableStyleInfo name="Squawkfox Expenses" showFirstColumn="1" showLastColumn="1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FFF95E9E-72D3-4BAC-B7A3-18E7A4374909}" name="Summary2126" displayName="Summary2126" ref="B29:C37" totalsRowShown="0">
  <autoFilter ref="B29:C37" xr:uid="{00000000-0009-0000-0100-000010000000}">
    <filterColumn colId="0" hiddenButton="1"/>
    <filterColumn colId="1" hiddenButton="1"/>
  </autoFilter>
  <tableColumns count="2">
    <tableColumn id="1" xr3:uid="{5088B40E-4AF2-4334-B22B-D8A9F1F5DA61}" name=" " dataDxfId="317"/>
    <tableColumn id="2" xr3:uid="{2B6D696E-19BB-43D9-BB6E-FA420F5C19B4}" name="Amount" dataDxfId="316"/>
  </tableColumns>
  <tableStyleInfo name="Squawkfox - Income" showFirstColumn="1" showLastColumn="1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EF3E7F8-4EC1-48F0-887C-D9BDE1CB38CB}" name="Budget2227" displayName="Budget2227" ref="B22:C23" totalsRowShown="0">
  <autoFilter ref="B22:C23" xr:uid="{00000000-0009-0000-0100-000011000000}">
    <filterColumn colId="0" hiddenButton="1"/>
    <filterColumn colId="1" hiddenButton="1"/>
  </autoFilter>
  <tableColumns count="2">
    <tableColumn id="1" xr3:uid="{B707BDCE-5B17-4FCD-83C1-5292FE7BE99F}" name=" " dataDxfId="315"/>
    <tableColumn id="2" xr3:uid="{44890BD1-4BD9-46DA-B82C-29CF6B955EA2}" name="Amount" dataDxfId="314">
      <calculatedColumnFormula>'PERSONAL BUDGET'!F109</calculatedColumnFormula>
    </tableColumn>
  </tableColumns>
  <tableStyleInfo name="Squawkfox - Summaries" showFirstColumn="1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CEA97A41-5EA3-43BE-B587-F2FC018427A9}" name="Table192328" displayName="Table192328" ref="B72:F73" totalsRowShown="0" headerRowDxfId="313" dataDxfId="312">
  <autoFilter ref="B72:F73" xr:uid="{00000000-0009-0000-0100-000013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828981B8-6540-410A-B57C-A3272FF1B05E}" name="Creditor" dataDxfId="311">
      <calculatedColumnFormula>INDEX(Debts2025[[Creditor]:[Monthly Payment]], MATCH(MAX(Debts2025[Interest Rate]),Debts2025[Interest Rate], 0), 1)</calculatedColumnFormula>
    </tableColumn>
    <tableColumn id="2" xr3:uid="{9E54C751-E643-47F6-83CB-8A413E94F782}" name="Balance" dataDxfId="310">
      <calculatedColumnFormula>INDEX(Debts2025[[Creditor]:[Monthly Payment]], MATCH(MAX(Debts2025[Interest Rate]),Debts2025[Interest Rate], 0), 2)</calculatedColumnFormula>
    </tableColumn>
    <tableColumn id="3" xr3:uid="{F2AF296F-603E-4EF1-A82A-C77EDF27DC32}" name="Interest Rate" dataDxfId="309">
      <calculatedColumnFormula>INDEX(Debts2025[[Creditor]:[Monthly Payment]], MATCH(MAX(Debts2025[Interest Rate]),Debts2025[Interest Rate], 0), 3)</calculatedColumnFormula>
    </tableColumn>
    <tableColumn id="4" xr3:uid="{EF5B4F2E-8C09-451E-B3A7-79598E48CF22}" name="Monthly Payment" dataDxfId="308">
      <calculatedColumnFormula>INDEX(Debts2025[[Creditor]:[Monthly Payment]], MATCH(MAX(Debts2025[Interest Rate]),Debts2025[Interest Rate], 0), 4)</calculatedColumnFormula>
    </tableColumn>
    <tableColumn id="5" xr3:uid="{2A187C0B-1A99-4CDD-968A-09C77E8DCCB2}" name="New Payment" dataDxfId="307">
      <calculatedColumnFormula>INDEX(Debts2025[[Creditor]:[Monthly Payment]], MATCH(MAX(Debts2025[Interest Rate]),Debts2025[Interest Rate], 0), 4) + $C$37</calculatedColumnFormula>
    </tableColumn>
  </tableColumns>
  <tableStyleInfo name="Squawkfox - Category" showFirstColumn="0" showLastColumn="0" showRowStripes="0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E436C18E-AAED-4006-97CA-7686CE797533}" name="Table202429" displayName="Table202429" ref="B77:F78" totalsRowShown="0" headerRowDxfId="306" dataDxfId="305">
  <autoFilter ref="B77:F78" xr:uid="{00000000-0009-0000-0100-000014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C0AEB90E-C416-4D4D-B7DE-6C60E71EF927}" name="Creditor" dataDxfId="304">
      <calculatedColumnFormula>INDEX(Debts2025[[Creditor]:[Monthly Payment]], MATCH(MIN(Debts2025[Balance]),Debts2025[Balance], 0), 1)</calculatedColumnFormula>
    </tableColumn>
    <tableColumn id="2" xr3:uid="{ED823F0E-BD92-4C02-ADD7-4DB9AD036B95}" name="Balance" dataDxfId="303">
      <calculatedColumnFormula>INDEX(Debts2025[[Creditor]:[Monthly Payment]], MATCH(MIN(Debts2025[Balance]),Debts2025[Balance], 0), 2)</calculatedColumnFormula>
    </tableColumn>
    <tableColumn id="3" xr3:uid="{9EFC88FC-07C5-450C-95B3-F1002DB85AD7}" name="Interest Rate" dataDxfId="302">
      <calculatedColumnFormula>INDEX(Debts2025[[Creditor]:[Monthly Payment]], MATCH(MIN(Debts2025[Balance]),Debts2025[Balance], 0), 3)</calculatedColumnFormula>
    </tableColumn>
    <tableColumn id="4" xr3:uid="{818620E6-DB91-42F2-8E57-6AE7F062BC76}" name="Monthly Payment" dataDxfId="301">
      <calculatedColumnFormula>INDEX(Debts2025[[Creditor]:[Monthly Payment]], MATCH(MIN(Debts2025[Balance]),Debts2025[Balance], 0), 4)</calculatedColumnFormula>
    </tableColumn>
    <tableColumn id="5" xr3:uid="{973C9479-1E53-4F04-9AE9-5990D06B2B81}" name="New Payment" dataDxfId="300">
      <calculatedColumnFormula>INDEX(Debts2025[[Creditor]:[Monthly Payment]], MATCH(MIN(Debts2025[Balance]),Debts2025[Balance], 0), 4) + $C$37</calculatedColumnFormula>
    </tableColumn>
  </tableColumns>
  <tableStyleInfo name="Squawkfox - Category" showFirstColumn="0" showLastColumn="0" showRowStripes="0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F960955A-9353-4046-AA25-AAE3ECA75EEE}" name="Debts202530" displayName="Debts202530" ref="B7:F16" totalsRowCount="1" dataDxfId="298">
  <autoFilter ref="B7:F15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D697B295-5042-46EC-AF1A-97256DCA15C9}" name="Creditor" totalsRowLabel="Total" dataDxfId="297" totalsRowDxfId="44"/>
    <tableColumn id="2" xr3:uid="{D7529C86-AF38-4F2B-8AA2-42682221A689}" name="Balance" totalsRowFunction="sum" dataDxfId="296" totalsRowDxfId="43"/>
    <tableColumn id="3" xr3:uid="{2726B091-CF9B-44DD-8623-1E4B2321563C}" name="Interest Rate" totalsRowFunction="custom" dataDxfId="295" totalsRowDxfId="42">
      <totalsRowFormula>SUMPRODUCT(Debts202530[Balance],Debts202530[Interest Rate])/SUM(Debts202530[Balance])</totalsRowFormula>
    </tableColumn>
    <tableColumn id="5" xr3:uid="{4F824449-EE86-462C-99A8-0B7A8B91B7D2}" name="Monthly Payment" totalsRowFunction="sum" dataDxfId="294" totalsRowDxfId="41"/>
    <tableColumn id="6" xr3:uid="{D672FCF5-BA3F-4248-8672-F105FBBC473E}" name="% of Total" totalsRowFunction="sum" dataDxfId="293" totalsRowDxfId="40">
      <calculatedColumnFormula>IF(C8&gt;0, C8/SUM($C$8:$C$28), "")</calculatedColumnFormula>
    </tableColumn>
  </tableColumns>
  <tableStyleInfo name="Squawkfox Expenses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Daily" displayName="Daily" ref="C20:Q27" totalsRowCount="1" headerRowDxfId="779" dataDxfId="778" totalsRowDxfId="777">
  <autoFilter ref="C20:Q26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00000000-0010-0000-0200-000001000000}" name="DAILY LIVING" totalsRowLabel="Total" totalsRowDxfId="687"/>
    <tableColumn id="2" xr3:uid="{00000000-0010-0000-0200-000002000000}" name="January" totalsRowFunction="sum" dataDxfId="540" totalsRowDxfId="684"/>
    <tableColumn id="3" xr3:uid="{00000000-0010-0000-0200-000003000000}" name="February" totalsRowFunction="sum" dataDxfId="539" totalsRowDxfId="683"/>
    <tableColumn id="4" xr3:uid="{00000000-0010-0000-0200-000004000000}" name="March" totalsRowFunction="sum" dataDxfId="538" totalsRowDxfId="682"/>
    <tableColumn id="5" xr3:uid="{00000000-0010-0000-0200-000005000000}" name="April" totalsRowFunction="sum" dataDxfId="537" totalsRowDxfId="680"/>
    <tableColumn id="6" xr3:uid="{00000000-0010-0000-0200-000006000000}" name="May" totalsRowFunction="sum" dataDxfId="536" totalsRowDxfId="681"/>
    <tableColumn id="7" xr3:uid="{00000000-0010-0000-0200-000007000000}" name="June" totalsRowFunction="sum" dataDxfId="535" totalsRowDxfId="679"/>
    <tableColumn id="8" xr3:uid="{00000000-0010-0000-0200-000008000000}" name="July" totalsRowFunction="sum" dataDxfId="534" totalsRowDxfId="678"/>
    <tableColumn id="9" xr3:uid="{00000000-0010-0000-0200-000009000000}" name="August" totalsRowFunction="sum" dataDxfId="533" totalsRowDxfId="677"/>
    <tableColumn id="10" xr3:uid="{00000000-0010-0000-0200-00000A000000}" name="September" totalsRowFunction="sum" dataDxfId="532" totalsRowDxfId="676"/>
    <tableColumn id="11" xr3:uid="{00000000-0010-0000-0200-00000B000000}" name="October" totalsRowFunction="sum" dataDxfId="531" totalsRowDxfId="675"/>
    <tableColumn id="12" xr3:uid="{00000000-0010-0000-0200-00000C000000}" name="November" totalsRowFunction="sum" dataDxfId="530" totalsRowDxfId="686"/>
    <tableColumn id="13" xr3:uid="{00000000-0010-0000-0200-00000D000000}" name="December" totalsRowFunction="sum" dataDxfId="529" totalsRowDxfId="674"/>
    <tableColumn id="14" xr3:uid="{00000000-0010-0000-0200-00000E000000}" name="Year" totalsRowFunction="sum" dataDxfId="528" totalsRowDxfId="673">
      <calculatedColumnFormula>SUM(Daily[[#This Row],[January]:[December]])</calculatedColumnFormula>
    </tableColumn>
    <tableColumn id="15" xr3:uid="{00000000-0010-0000-0200-00000F000000}" name="Sparkline" totalsRowDxfId="685"/>
  </tableColumns>
  <tableStyleInfo showFirstColumn="1" showLastColumn="0" showRowStripes="0" showColumnStripes="1"/>
  <extLst>
    <ext xmlns:x14="http://schemas.microsoft.com/office/spreadsheetml/2009/9/main" uri="{504A1905-F514-4f6f-8877-14C23A59335A}">
      <x14:table altTextSummary="Enter Daily expense items and monthly amounts in this table. Annual amount and monthly Totals are auto calculated and sparklines are updated"/>
    </ext>
  </extLst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E02EE21D-B71F-4E48-97E4-98159CB0464C}" name="Summary212631" displayName="Summary212631" ref="B29:C37" totalsRowShown="0">
  <autoFilter ref="B29:C37" xr:uid="{00000000-0009-0000-0100-000010000000}">
    <filterColumn colId="0" hiddenButton="1"/>
    <filterColumn colId="1" hiddenButton="1"/>
  </autoFilter>
  <tableColumns count="2">
    <tableColumn id="1" xr3:uid="{11737957-7A90-4B2C-88D4-F31BA57B819F}" name=" " dataDxfId="292"/>
    <tableColumn id="2" xr3:uid="{EC3D61B4-0BE8-4638-9F05-375D8DEB822A}" name="Amount" dataDxfId="291"/>
  </tableColumns>
  <tableStyleInfo name="Squawkfox - Income" showFirstColumn="1" showLastColumn="1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F26C9646-8D20-4714-8858-CEC21374A02F}" name="Budget222732" displayName="Budget222732" ref="B22:C23" totalsRowShown="0">
  <autoFilter ref="B22:C23" xr:uid="{00000000-0009-0000-0100-000011000000}">
    <filterColumn colId="0" hiddenButton="1"/>
    <filterColumn colId="1" hiddenButton="1"/>
  </autoFilter>
  <tableColumns count="2">
    <tableColumn id="1" xr3:uid="{70CFE3BA-1647-492B-A942-52CE4EF0ADFF}" name=" " dataDxfId="290"/>
    <tableColumn id="2" xr3:uid="{5DDD724A-50C9-4C1E-9D81-467EA1A3242F}" name="Amount" dataDxfId="289">
      <calculatedColumnFormula>'PERSONAL BUDGET'!G109</calculatedColumnFormula>
    </tableColumn>
  </tableColumns>
  <tableStyleInfo name="Squawkfox - Summaries" showFirstColumn="1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D76F5D72-E71D-487F-8FED-3D68A16E822D}" name="Table19232833" displayName="Table19232833" ref="B72:F73" totalsRowShown="0" headerRowDxfId="288" dataDxfId="287">
  <autoFilter ref="B72:F73" xr:uid="{00000000-0009-0000-0100-000013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2DE59430-FE31-4438-9A73-CB301641F067}" name="Creditor" dataDxfId="286">
      <calculatedColumnFormula>INDEX(Debts202530[[Creditor]:[Monthly Payment]], MATCH(MAX(Debts202530[Interest Rate]),Debts202530[Interest Rate], 0), 1)</calculatedColumnFormula>
    </tableColumn>
    <tableColumn id="2" xr3:uid="{558D986D-F909-4CAD-B16D-39780B0C7638}" name="Balance" dataDxfId="285">
      <calculatedColumnFormula>INDEX(Debts202530[[Creditor]:[Monthly Payment]], MATCH(MAX(Debts202530[Interest Rate]),Debts202530[Interest Rate], 0), 2)</calculatedColumnFormula>
    </tableColumn>
    <tableColumn id="3" xr3:uid="{CC107185-86B4-4849-8E9B-0D20D5ADEC4A}" name="Interest Rate" dataDxfId="284">
      <calculatedColumnFormula>INDEX(Debts202530[[Creditor]:[Monthly Payment]], MATCH(MAX(Debts202530[Interest Rate]),Debts202530[Interest Rate], 0), 3)</calculatedColumnFormula>
    </tableColumn>
    <tableColumn id="4" xr3:uid="{A26D5F77-DFEA-44F3-AC99-74943A53F77E}" name="Monthly Payment" dataDxfId="283">
      <calculatedColumnFormula>INDEX(Debts202530[[Creditor]:[Monthly Payment]], MATCH(MAX(Debts202530[Interest Rate]),Debts202530[Interest Rate], 0), 4)</calculatedColumnFormula>
    </tableColumn>
    <tableColumn id="5" xr3:uid="{56F29EAA-7D3A-45ED-A97C-02ED434C511D}" name="New Payment" dataDxfId="282">
      <calculatedColumnFormula>INDEX(Debts202530[[Creditor]:[Monthly Payment]], MATCH(MAX(Debts202530[Interest Rate]),Debts202530[Interest Rate], 0), 4) + $C$37</calculatedColumnFormula>
    </tableColumn>
  </tableColumns>
  <tableStyleInfo name="Squawkfox - Category" showFirstColumn="0" showLastColumn="0" showRowStripes="0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334D7B34-A2B5-4765-80C7-CDEF815F5A14}" name="Table20242934" displayName="Table20242934" ref="B77:F78" totalsRowShown="0" headerRowDxfId="281" dataDxfId="280">
  <autoFilter ref="B77:F78" xr:uid="{00000000-0009-0000-0100-000014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1E3CFDAF-0F64-4301-888F-F2C379677CEE}" name="Creditor" dataDxfId="279">
      <calculatedColumnFormula>INDEX(Debts202530[[Creditor]:[Monthly Payment]], MATCH(MIN(Debts202530[Balance]),Debts202530[Balance], 0), 1)</calculatedColumnFormula>
    </tableColumn>
    <tableColumn id="2" xr3:uid="{D0FFA006-79AA-4909-94C2-DB5A9AD97C5C}" name="Balance" dataDxfId="278">
      <calculatedColumnFormula>INDEX(Debts202530[[Creditor]:[Monthly Payment]], MATCH(MIN(Debts202530[Balance]),Debts202530[Balance], 0), 2)</calculatedColumnFormula>
    </tableColumn>
    <tableColumn id="3" xr3:uid="{58C46C78-BB6D-4466-AE76-23F1ED1256BB}" name="Interest Rate" dataDxfId="277">
      <calculatedColumnFormula>INDEX(Debts202530[[Creditor]:[Monthly Payment]], MATCH(MIN(Debts202530[Balance]),Debts202530[Balance], 0), 3)</calculatedColumnFormula>
    </tableColumn>
    <tableColumn id="4" xr3:uid="{D84BB972-B2BC-45DC-8A9D-0C01925FF1B2}" name="Monthly Payment" dataDxfId="276">
      <calculatedColumnFormula>INDEX(Debts202530[[Creditor]:[Monthly Payment]], MATCH(MIN(Debts202530[Balance]),Debts202530[Balance], 0), 4)</calculatedColumnFormula>
    </tableColumn>
    <tableColumn id="5" xr3:uid="{D2D66FC1-D201-4483-A409-8C547DC51355}" name="New Payment" dataDxfId="275">
      <calculatedColumnFormula>INDEX(Debts202530[[Creditor]:[Monthly Payment]], MATCH(MIN(Debts202530[Balance]),Debts202530[Balance], 0), 4) + $C$37</calculatedColumnFormula>
    </tableColumn>
  </tableColumns>
  <tableStyleInfo name="Squawkfox - Category" showFirstColumn="0" showLastColumn="0" showRowStripes="0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6D2CB8D5-DCF6-49CB-B5B3-A3C5B531CE94}" name="Debts20253035" displayName="Debts20253035" ref="B7:F16" totalsRowCount="1" dataDxfId="273">
  <autoFilter ref="B7:F15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1600867E-3354-4F77-BBAD-AAC49B0466EE}" name="Creditor" totalsRowLabel="Total" dataDxfId="272" totalsRowDxfId="39"/>
    <tableColumn id="2" xr3:uid="{67326A2E-5104-4D4E-A89F-7EF54D9280E8}" name="Balance" totalsRowFunction="sum" dataDxfId="271" totalsRowDxfId="38"/>
    <tableColumn id="3" xr3:uid="{70CFD2CF-0A45-47B0-8E3D-8B0B349B643D}" name="Interest Rate" totalsRowFunction="custom" dataDxfId="270" totalsRowDxfId="37">
      <totalsRowFormula>SUMPRODUCT(Debts20253035[Balance],Debts20253035[Interest Rate])/SUM(Debts20253035[Balance])</totalsRowFormula>
    </tableColumn>
    <tableColumn id="5" xr3:uid="{725E1372-91D3-40B9-9332-A5C0D3AF663E}" name="Monthly Payment" totalsRowFunction="sum" dataDxfId="269" totalsRowDxfId="36"/>
    <tableColumn id="6" xr3:uid="{ED27D41F-0344-42F9-85DA-37AA16531944}" name="% of Total" totalsRowFunction="sum" dataDxfId="268" totalsRowDxfId="35">
      <calculatedColumnFormula>IF(C8&gt;0, C8/SUM($C$8:$C$28), "")</calculatedColumnFormula>
    </tableColumn>
  </tableColumns>
  <tableStyleInfo name="Squawkfox Expenses" showFirstColumn="1" showLastColumn="1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C2C3EEB7-95A5-4EDB-A6E8-7EBB7D513BAE}" name="Summary21263136" displayName="Summary21263136" ref="B29:C37" totalsRowShown="0">
  <autoFilter ref="B29:C37" xr:uid="{00000000-0009-0000-0100-000010000000}">
    <filterColumn colId="0" hiddenButton="1"/>
    <filterColumn colId="1" hiddenButton="1"/>
  </autoFilter>
  <tableColumns count="2">
    <tableColumn id="1" xr3:uid="{FB7EB91B-D34F-4456-BE95-185E1924B2F4}" name=" " dataDxfId="267"/>
    <tableColumn id="2" xr3:uid="{78F2EFD4-AEA0-4ABD-B084-A9F32DDD7767}" name="Amount" dataDxfId="266"/>
  </tableColumns>
  <tableStyleInfo name="Squawkfox - Income" showFirstColumn="1" showLastColumn="1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A69868A0-81FF-4DA3-96E4-D0126CF940BE}" name="Budget22273237" displayName="Budget22273237" ref="B22:C23" totalsRowShown="0">
  <autoFilter ref="B22:C23" xr:uid="{00000000-0009-0000-0100-000011000000}">
    <filterColumn colId="0" hiddenButton="1"/>
    <filterColumn colId="1" hiddenButton="1"/>
  </autoFilter>
  <tableColumns count="2">
    <tableColumn id="1" xr3:uid="{709F10C8-EF5A-4396-862F-157BB9C44896}" name=" " dataDxfId="265"/>
    <tableColumn id="2" xr3:uid="{7E3D8403-74C6-4699-86E7-6C34625F9B8E}" name="Amount" dataDxfId="264">
      <calculatedColumnFormula>'PERSONAL BUDGET'!H109</calculatedColumnFormula>
    </tableColumn>
  </tableColumns>
  <tableStyleInfo name="Squawkfox - Summaries" showFirstColumn="1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94DFE32-EB4B-465E-9622-3D53EC9D7FF6}" name="Table1923283338" displayName="Table1923283338" ref="B72:F73" totalsRowShown="0" headerRowDxfId="263" dataDxfId="262">
  <autoFilter ref="B72:F73" xr:uid="{00000000-0009-0000-0100-000013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6B2D259-F756-4745-91DA-CBAF233C5F4D}" name="Creditor" dataDxfId="261">
      <calculatedColumnFormula>INDEX(Debts20253035[[Creditor]:[Monthly Payment]], MATCH(MAX(Debts20253035[Interest Rate]),Debts20253035[Interest Rate], 0), 1)</calculatedColumnFormula>
    </tableColumn>
    <tableColumn id="2" xr3:uid="{A0CA0235-7747-483D-ADB9-EFB1B54B2E6F}" name="Balance" dataDxfId="260">
      <calculatedColumnFormula>INDEX(Debts20253035[[Creditor]:[Monthly Payment]], MATCH(MAX(Debts20253035[Interest Rate]),Debts20253035[Interest Rate], 0), 2)</calculatedColumnFormula>
    </tableColumn>
    <tableColumn id="3" xr3:uid="{174076E8-27BC-4DA9-9637-E903775CECEB}" name="Interest Rate" dataDxfId="259">
      <calculatedColumnFormula>INDEX(Debts20253035[[Creditor]:[Monthly Payment]], MATCH(MAX(Debts20253035[Interest Rate]),Debts20253035[Interest Rate], 0), 3)</calculatedColumnFormula>
    </tableColumn>
    <tableColumn id="4" xr3:uid="{61A6CF1A-F00B-491E-9609-DD02537E0AFC}" name="Monthly Payment" dataDxfId="258">
      <calculatedColumnFormula>INDEX(Debts20253035[[Creditor]:[Monthly Payment]], MATCH(MAX(Debts20253035[Interest Rate]),Debts20253035[Interest Rate], 0), 4)</calculatedColumnFormula>
    </tableColumn>
    <tableColumn id="5" xr3:uid="{7960BF4E-F9C2-4326-938A-6996C16A9E43}" name="New Payment" dataDxfId="257">
      <calculatedColumnFormula>INDEX(Debts20253035[[Creditor]:[Monthly Payment]], MATCH(MAX(Debts20253035[Interest Rate]),Debts20253035[Interest Rate], 0), 4) + $C$37</calculatedColumnFormula>
    </tableColumn>
  </tableColumns>
  <tableStyleInfo name="Squawkfox - Category" showFirstColumn="0" showLastColumn="0" showRowStripes="0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FEEF5F12-E3CD-47CB-890D-0593AFCC5C80}" name="Table2024293439" displayName="Table2024293439" ref="B77:F78" totalsRowShown="0" headerRowDxfId="256" dataDxfId="255">
  <autoFilter ref="B77:F78" xr:uid="{00000000-0009-0000-0100-000014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2C0435EF-3A8F-484A-B57A-819CB7B6DA7A}" name="Creditor" dataDxfId="254">
      <calculatedColumnFormula>INDEX(Debts20253035[[Creditor]:[Monthly Payment]], MATCH(MIN(Debts20253035[Balance]),Debts20253035[Balance], 0), 1)</calculatedColumnFormula>
    </tableColumn>
    <tableColumn id="2" xr3:uid="{46C18AC3-B44B-4B82-A32C-54FF34D9E476}" name="Balance" dataDxfId="253">
      <calculatedColumnFormula>INDEX(Debts20253035[[Creditor]:[Monthly Payment]], MATCH(MIN(Debts20253035[Balance]),Debts20253035[Balance], 0), 2)</calculatedColumnFormula>
    </tableColumn>
    <tableColumn id="3" xr3:uid="{A099B6CE-EBB4-40B7-ABE3-FD033C733544}" name="Interest Rate" dataDxfId="252">
      <calculatedColumnFormula>INDEX(Debts20253035[[Creditor]:[Monthly Payment]], MATCH(MIN(Debts20253035[Balance]),Debts20253035[Balance], 0), 3)</calculatedColumnFormula>
    </tableColumn>
    <tableColumn id="4" xr3:uid="{6B30B620-CE5E-42A6-A523-47EBE9324A4C}" name="Monthly Payment" dataDxfId="251">
      <calculatedColumnFormula>INDEX(Debts20253035[[Creditor]:[Monthly Payment]], MATCH(MIN(Debts20253035[Balance]),Debts20253035[Balance], 0), 4)</calculatedColumnFormula>
    </tableColumn>
    <tableColumn id="5" xr3:uid="{CF173920-F17B-449C-837C-48329FEF63B6}" name="New Payment" dataDxfId="250">
      <calculatedColumnFormula>INDEX(Debts20253035[[Creditor]:[Monthly Payment]], MATCH(MIN(Debts20253035[Balance]),Debts20253035[Balance], 0), 4) + $C$37</calculatedColumnFormula>
    </tableColumn>
  </tableColumns>
  <tableStyleInfo name="Squawkfox - Category" showFirstColumn="0" showLastColumn="0" showRowStripes="0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56515989-E70F-47F9-949E-D466E1D217DF}" name="Debts2025303540" displayName="Debts2025303540" ref="B7:F16" totalsRowCount="1" dataDxfId="248">
  <autoFilter ref="B7:F15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48430A50-D359-441F-A3C5-A8D42646BFBE}" name="Creditor" totalsRowLabel="Total" dataDxfId="247" totalsRowDxfId="34"/>
    <tableColumn id="2" xr3:uid="{95BD2027-8497-416B-8960-99D62F14FB7B}" name="Balance" totalsRowFunction="sum" dataDxfId="246" totalsRowDxfId="33"/>
    <tableColumn id="3" xr3:uid="{68EC3F0A-9005-4AA1-9FF2-678D75993DBB}" name="Interest Rate" totalsRowLabel="0.00%" dataDxfId="245" totalsRowDxfId="32"/>
    <tableColumn id="5" xr3:uid="{CA058A49-E633-4FA6-8556-89AF8A676F31}" name="Monthly Payment" totalsRowFunction="sum" dataDxfId="244" totalsRowDxfId="31"/>
    <tableColumn id="6" xr3:uid="{512F8645-9AEC-47D6-A66D-DD6D6918CBF3}" name="% of Total" totalsRowFunction="sum" dataDxfId="243" totalsRowDxfId="30">
      <calculatedColumnFormula>IF(C8&gt;0, C8/SUM($C$8:$C$28), "")</calculatedColumnFormula>
    </tableColumn>
  </tableColumns>
  <tableStyleInfo name="Squawkfox Expenses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ransportation" displayName="Transportation" ref="C29:Q36" totalsRowCount="1" headerRowDxfId="776" dataDxfId="775" totalsRowDxfId="774">
  <autoFilter ref="C29:Q35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00000000-0010-0000-0300-000001000000}" name="TRANSPORTATION" totalsRowLabel="Total" totalsRowDxfId="737"/>
    <tableColumn id="2" xr3:uid="{00000000-0010-0000-0300-000002000000}" name="January" totalsRowFunction="sum" dataDxfId="527" totalsRowDxfId="672"/>
    <tableColumn id="3" xr3:uid="{00000000-0010-0000-0300-000003000000}" name="February" totalsRowFunction="sum" dataDxfId="526" totalsRowDxfId="671"/>
    <tableColumn id="4" xr3:uid="{00000000-0010-0000-0300-000004000000}" name="March" totalsRowFunction="sum" dataDxfId="525" totalsRowDxfId="670"/>
    <tableColumn id="5" xr3:uid="{00000000-0010-0000-0300-000005000000}" name="April" totalsRowFunction="sum" dataDxfId="524" totalsRowDxfId="669"/>
    <tableColumn id="6" xr3:uid="{00000000-0010-0000-0300-000006000000}" name="May" totalsRowFunction="sum" dataDxfId="523" totalsRowDxfId="668"/>
    <tableColumn id="7" xr3:uid="{00000000-0010-0000-0300-000007000000}" name="June" totalsRowFunction="sum" dataDxfId="522" totalsRowDxfId="667"/>
    <tableColumn id="8" xr3:uid="{00000000-0010-0000-0300-000008000000}" name="July" totalsRowFunction="sum" dataDxfId="521" totalsRowDxfId="666"/>
    <tableColumn id="9" xr3:uid="{00000000-0010-0000-0300-000009000000}" name="August" totalsRowFunction="sum" dataDxfId="520" totalsRowDxfId="665"/>
    <tableColumn id="10" xr3:uid="{00000000-0010-0000-0300-00000A000000}" name="September" totalsRowFunction="sum" dataDxfId="519" totalsRowDxfId="664"/>
    <tableColumn id="11" xr3:uid="{00000000-0010-0000-0300-00000B000000}" name="October" totalsRowFunction="sum" dataDxfId="518" totalsRowDxfId="663"/>
    <tableColumn id="12" xr3:uid="{00000000-0010-0000-0300-00000C000000}" name="November" totalsRowFunction="sum" dataDxfId="517" totalsRowDxfId="662"/>
    <tableColumn id="13" xr3:uid="{00000000-0010-0000-0300-00000D000000}" name="December" totalsRowFunction="sum" dataDxfId="516" totalsRowDxfId="661"/>
    <tableColumn id="14" xr3:uid="{00000000-0010-0000-0300-00000E000000}" name="Year" totalsRowFunction="sum" dataDxfId="515" totalsRowDxfId="660">
      <calculatedColumnFormula>SUM(Transportation[[#This Row],[January]:[December]])</calculatedColumnFormula>
    </tableColumn>
    <tableColumn id="15" xr3:uid="{00000000-0010-0000-0300-00000F000000}" name="Sparkline" totalsRowDxfId="736"/>
  </tableColumns>
  <tableStyleInfo showFirstColumn="1" showLastColumn="0" showRowStripes="0" showColumnStripes="1"/>
  <extLst>
    <ext xmlns:x14="http://schemas.microsoft.com/office/spreadsheetml/2009/9/main" uri="{504A1905-F514-4f6f-8877-14C23A59335A}">
      <x14:table altTextSummary="Enter Transportation expense items and monthly amounts in this table. Annual amount and monthly Totals are auto calculated and sparklines are updated"/>
    </ext>
  </extLst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6CD12719-D04A-424A-BA75-9FC5C37743E5}" name="Summary2126313641" displayName="Summary2126313641" ref="B29:C37" totalsRowShown="0">
  <autoFilter ref="B29:C37" xr:uid="{00000000-0009-0000-0100-000010000000}">
    <filterColumn colId="0" hiddenButton="1"/>
    <filterColumn colId="1" hiddenButton="1"/>
  </autoFilter>
  <tableColumns count="2">
    <tableColumn id="1" xr3:uid="{E8EB0AFF-302C-44CA-96C7-AFB1263B60A5}" name=" " dataDxfId="242"/>
    <tableColumn id="2" xr3:uid="{37744F0C-2281-4FB8-BFA1-47190B3F975F}" name="Amount" dataDxfId="241"/>
  </tableColumns>
  <tableStyleInfo name="Squawkfox - Income" showFirstColumn="1" showLastColumn="1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FC82ABF-034B-4952-85C0-FE4F7DCC108E}" name="Budget2227323742" displayName="Budget2227323742" ref="B22:C23" totalsRowShown="0">
  <autoFilter ref="B22:C23" xr:uid="{00000000-0009-0000-0100-000011000000}">
    <filterColumn colId="0" hiddenButton="1"/>
    <filterColumn colId="1" hiddenButton="1"/>
  </autoFilter>
  <tableColumns count="2">
    <tableColumn id="1" xr3:uid="{BD74F959-5C21-4BE6-9D13-A071D0A5E428}" name=" " dataDxfId="240"/>
    <tableColumn id="2" xr3:uid="{922BFDB8-5C8E-4912-9EFC-5C75E20861DC}" name="Amount" dataDxfId="239">
      <calculatedColumnFormula>'PERSONAL BUDGET'!I109</calculatedColumnFormula>
    </tableColumn>
  </tableColumns>
  <tableStyleInfo name="Squawkfox - Summaries" showFirstColumn="1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3D239070-EC5F-4BB2-8C3E-2BF003DE7A4C}" name="Table192328333843" displayName="Table192328333843" ref="B72:F73" totalsRowShown="0" headerRowDxfId="238" dataDxfId="237">
  <autoFilter ref="B72:F73" xr:uid="{00000000-0009-0000-0100-000013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ADBCA284-D1CA-4835-88F7-07EDA511F956}" name="Creditor" dataDxfId="236">
      <calculatedColumnFormula>INDEX(Debts2025303540[[Creditor]:[Monthly Payment]], MATCH(MAX(Debts2025303540[Interest Rate]),Debts2025303540[Interest Rate], 0), 1)</calculatedColumnFormula>
    </tableColumn>
    <tableColumn id="2" xr3:uid="{99B0FD5B-3492-46EE-84CE-3AFF896E93A0}" name="Balance" dataDxfId="235">
      <calculatedColumnFormula>INDEX(Debts2025303540[[Creditor]:[Monthly Payment]], MATCH(MAX(Debts2025303540[Interest Rate]),Debts2025303540[Interest Rate], 0), 2)</calculatedColumnFormula>
    </tableColumn>
    <tableColumn id="3" xr3:uid="{2E024C32-8DD5-4603-AD58-A6436A657EFC}" name="Interest Rate" dataDxfId="234">
      <calculatedColumnFormula>INDEX(Debts2025303540[[Creditor]:[Monthly Payment]], MATCH(MAX(Debts2025303540[Interest Rate]),Debts2025303540[Interest Rate], 0), 3)</calculatedColumnFormula>
    </tableColumn>
    <tableColumn id="4" xr3:uid="{6F00BA41-E561-463D-99C3-334C89150515}" name="Monthly Payment" dataDxfId="233">
      <calculatedColumnFormula>INDEX(Debts2025303540[[Creditor]:[Monthly Payment]], MATCH(MAX(Debts2025303540[Interest Rate]),Debts2025303540[Interest Rate], 0), 4)</calculatedColumnFormula>
    </tableColumn>
    <tableColumn id="5" xr3:uid="{31D07784-1212-45A9-BE39-5971CBE41705}" name="New Payment" dataDxfId="232">
      <calculatedColumnFormula>INDEX(Debts2025303540[[Creditor]:[Monthly Payment]], MATCH(MAX(Debts2025303540[Interest Rate]),Debts2025303540[Interest Rate], 0), 4) + $C$37</calculatedColumnFormula>
    </tableColumn>
  </tableColumns>
  <tableStyleInfo name="Squawkfox - Category" showFirstColumn="0" showLastColumn="0" showRowStripes="0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B3377EE2-9302-4A11-BEAD-8A218111CD38}" name="Table202429343944" displayName="Table202429343944" ref="B77:F78" totalsRowShown="0" headerRowDxfId="231" dataDxfId="230">
  <autoFilter ref="B77:F78" xr:uid="{00000000-0009-0000-0100-000014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976F3B5-3DAC-435F-BCBD-907582A23E5C}" name="Creditor" dataDxfId="229">
      <calculatedColumnFormula>INDEX(Debts2025303540[[Creditor]:[Monthly Payment]], MATCH(MIN(Debts2025303540[Balance]),Debts2025303540[Balance], 0), 1)</calculatedColumnFormula>
    </tableColumn>
    <tableColumn id="2" xr3:uid="{1EBC80C3-49D2-4F57-BD8B-93DF851AE845}" name="Balance" dataDxfId="228">
      <calculatedColumnFormula>INDEX(Debts2025303540[[Creditor]:[Monthly Payment]], MATCH(MIN(Debts2025303540[Balance]),Debts2025303540[Balance], 0), 2)</calculatedColumnFormula>
    </tableColumn>
    <tableColumn id="3" xr3:uid="{1CB2B823-5838-4587-BFF5-396C3A732B52}" name="Interest Rate" dataDxfId="227">
      <calculatedColumnFormula>INDEX(Debts2025303540[[Creditor]:[Monthly Payment]], MATCH(MIN(Debts2025303540[Balance]),Debts2025303540[Balance], 0), 3)</calculatedColumnFormula>
    </tableColumn>
    <tableColumn id="4" xr3:uid="{EE8A97A5-939E-4E7E-9AE7-EE4922C80030}" name="Monthly Payment" dataDxfId="226">
      <calculatedColumnFormula>INDEX(Debts2025303540[[Creditor]:[Monthly Payment]], MATCH(MIN(Debts2025303540[Balance]),Debts2025303540[Balance], 0), 4)</calculatedColumnFormula>
    </tableColumn>
    <tableColumn id="5" xr3:uid="{CD07E80C-94EA-4852-85AB-076A29A14A26}" name="New Payment" dataDxfId="225">
      <calculatedColumnFormula>INDEX(Debts2025303540[[Creditor]:[Monthly Payment]], MATCH(MIN(Debts2025303540[Balance]),Debts2025303540[Balance], 0), 4) + $C$37</calculatedColumnFormula>
    </tableColumn>
  </tableColumns>
  <tableStyleInfo name="Squawkfox - Category" showFirstColumn="0" showLastColumn="0" showRowStripes="0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3103D5B5-D09B-44CC-B368-637DD535D077}" name="Debts202530354045" displayName="Debts202530354045" ref="B7:F16" totalsRowCount="1" dataDxfId="223">
  <autoFilter ref="B7:F15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5DA400E7-B244-43C0-991B-D03639664320}" name="Creditor" totalsRowLabel="Total" dataDxfId="222" totalsRowDxfId="29"/>
    <tableColumn id="2" xr3:uid="{A34F3AA7-025E-487E-8BC3-24805D2F3450}" name="Balance" totalsRowFunction="sum" dataDxfId="221" totalsRowDxfId="28"/>
    <tableColumn id="3" xr3:uid="{5A4F8833-F093-4DAB-ACF6-108EF59C52A5}" name="Interest Rate" totalsRowFunction="custom" dataDxfId="220" totalsRowDxfId="27">
      <totalsRowFormula>SUMPRODUCT(Debts202530354045[Balance],Debts202530354045[Interest Rate])/SUM(Debts202530354045[Balance])</totalsRowFormula>
    </tableColumn>
    <tableColumn id="5" xr3:uid="{7C7DA6C5-9AD5-442D-B040-4A168F6EB29C}" name="Monthly Payment" totalsRowFunction="sum" dataDxfId="219" totalsRowDxfId="26"/>
    <tableColumn id="6" xr3:uid="{BFC47726-BCA3-46D6-B5DF-5A97668C461F}" name="% of Total" totalsRowFunction="sum" dataDxfId="218" totalsRowDxfId="25">
      <calculatedColumnFormula>IF(C8&gt;0, C8/SUM($C$8:$C$28), "")</calculatedColumnFormula>
    </tableColumn>
  </tableColumns>
  <tableStyleInfo name="Squawkfox Expenses" showFirstColumn="1" showLastColumn="1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36425B25-FDF2-4240-AB77-53494F57F2AB}" name="Summary212631364146" displayName="Summary212631364146" ref="B29:C37" totalsRowShown="0">
  <autoFilter ref="B29:C37" xr:uid="{00000000-0009-0000-0100-000010000000}">
    <filterColumn colId="0" hiddenButton="1"/>
    <filterColumn colId="1" hiddenButton="1"/>
  </autoFilter>
  <tableColumns count="2">
    <tableColumn id="1" xr3:uid="{7C836A88-0A65-43EE-8A6B-8261FD368B13}" name=" " dataDxfId="217"/>
    <tableColumn id="2" xr3:uid="{053BE108-E2DF-451B-B491-519C7590650F}" name="Amount" dataDxfId="216"/>
  </tableColumns>
  <tableStyleInfo name="Squawkfox - Income" showFirstColumn="1" showLastColumn="1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10FB8E7F-F42C-46D5-A7B8-57050ED8BA81}" name="Budget222732374247" displayName="Budget222732374247" ref="B22:C23" totalsRowShown="0">
  <autoFilter ref="B22:C23" xr:uid="{00000000-0009-0000-0100-000011000000}">
    <filterColumn colId="0" hiddenButton="1"/>
    <filterColumn colId="1" hiddenButton="1"/>
  </autoFilter>
  <tableColumns count="2">
    <tableColumn id="1" xr3:uid="{DB463803-E8AC-43B6-AB9C-417E2F562278}" name=" " dataDxfId="215"/>
    <tableColumn id="2" xr3:uid="{B8301B3E-1790-4A0F-BB43-E03D7DFD0EA4}" name="Amount" dataDxfId="214">
      <calculatedColumnFormula>'PERSONAL BUDGET'!J109</calculatedColumnFormula>
    </tableColumn>
  </tableColumns>
  <tableStyleInfo name="Squawkfox - Summaries" showFirstColumn="1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15659359-EA39-485B-AFD7-4E8B7D5C9A9E}" name="Table19232833384348" displayName="Table19232833384348" ref="B72:F73" totalsRowShown="0" headerRowDxfId="213" dataDxfId="212">
  <autoFilter ref="B72:F73" xr:uid="{00000000-0009-0000-0100-000013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C5D7336F-26C9-41FE-BC6F-B3F8D397ED9D}" name="Creditor" dataDxfId="211">
      <calculatedColumnFormula>INDEX(Debts202530354045[[Creditor]:[Monthly Payment]], MATCH(MAX(Debts202530354045[Interest Rate]),Debts202530354045[Interest Rate], 0), 1)</calculatedColumnFormula>
    </tableColumn>
    <tableColumn id="2" xr3:uid="{08FC0C22-7869-4F5C-ABFA-A1C4725EA705}" name="Balance" dataDxfId="210">
      <calculatedColumnFormula>INDEX(Debts202530354045[[Creditor]:[Monthly Payment]], MATCH(MAX(Debts202530354045[Interest Rate]),Debts202530354045[Interest Rate], 0), 2)</calculatedColumnFormula>
    </tableColumn>
    <tableColumn id="3" xr3:uid="{AF5D1114-5286-472F-AC18-756C6D877BB8}" name="Interest Rate" dataDxfId="209">
      <calculatedColumnFormula>INDEX(Debts202530354045[[Creditor]:[Monthly Payment]], MATCH(MAX(Debts202530354045[Interest Rate]),Debts202530354045[Interest Rate], 0), 3)</calculatedColumnFormula>
    </tableColumn>
    <tableColumn id="4" xr3:uid="{D12E377A-3CD8-446D-9A9E-B8B8545D0F31}" name="Monthly Payment" dataDxfId="208">
      <calculatedColumnFormula>INDEX(Debts202530354045[[Creditor]:[Monthly Payment]], MATCH(MAX(Debts202530354045[Interest Rate]),Debts202530354045[Interest Rate], 0), 4)</calculatedColumnFormula>
    </tableColumn>
    <tableColumn id="5" xr3:uid="{B1A63919-B26F-4076-9043-DBFCA9178883}" name="New Payment" dataDxfId="207">
      <calculatedColumnFormula>INDEX(Debts202530354045[[Creditor]:[Monthly Payment]], MATCH(MAX(Debts202530354045[Interest Rate]),Debts202530354045[Interest Rate], 0), 4) + $C$37</calculatedColumnFormula>
    </tableColumn>
  </tableColumns>
  <tableStyleInfo name="Squawkfox - Category" showFirstColumn="0" showLastColumn="0" showRowStripes="0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BC097C34-12E9-4368-802E-C479C0D481CE}" name="Table20242934394449" displayName="Table20242934394449" ref="B77:F78" totalsRowShown="0" headerRowDxfId="206" dataDxfId="205">
  <autoFilter ref="B77:F78" xr:uid="{00000000-0009-0000-0100-000014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3536A585-C5CB-45F0-A7EE-9B25A9CFEA8C}" name="Creditor" dataDxfId="204">
      <calculatedColumnFormula>INDEX(Debts202530354045[[Creditor]:[Monthly Payment]], MATCH(MIN(Debts202530354045[Balance]),Debts202530354045[Balance], 0), 1)</calculatedColumnFormula>
    </tableColumn>
    <tableColumn id="2" xr3:uid="{84F1C633-EB0C-4727-B374-86027A6773BE}" name="Balance" dataDxfId="203">
      <calculatedColumnFormula>INDEX(Debts202530354045[[Creditor]:[Monthly Payment]], MATCH(MIN(Debts202530354045[Balance]),Debts202530354045[Balance], 0), 2)</calculatedColumnFormula>
    </tableColumn>
    <tableColumn id="3" xr3:uid="{7CF31FE3-1D90-450E-835D-3D5A231598E0}" name="Interest Rate" dataDxfId="202">
      <calculatedColumnFormula>INDEX(Debts202530354045[[Creditor]:[Monthly Payment]], MATCH(MIN(Debts202530354045[Balance]),Debts202530354045[Balance], 0), 3)</calculatedColumnFormula>
    </tableColumn>
    <tableColumn id="4" xr3:uid="{1610CC97-6204-472F-897E-F4F907F319C9}" name="Monthly Payment" dataDxfId="201">
      <calculatedColumnFormula>INDEX(Debts202530354045[[Creditor]:[Monthly Payment]], MATCH(MIN(Debts202530354045[Balance]),Debts202530354045[Balance], 0), 4)</calculatedColumnFormula>
    </tableColumn>
    <tableColumn id="5" xr3:uid="{D56905D3-CBEC-4C0F-B955-E28DB4F69620}" name="New Payment" dataDxfId="200">
      <calculatedColumnFormula>INDEX(Debts202530354045[[Creditor]:[Monthly Payment]], MATCH(MIN(Debts202530354045[Balance]),Debts202530354045[Balance], 0), 4) + $C$37</calculatedColumnFormula>
    </tableColumn>
  </tableColumns>
  <tableStyleInfo name="Squawkfox - Category" showFirstColumn="0" showLastColumn="0" showRowStripes="0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EA0ABE29-1677-43B6-8D54-2B85263B8E3B}" name="Debts20253035404550" displayName="Debts20253035404550" ref="B7:F16" totalsRowCount="1" dataDxfId="198">
  <autoFilter ref="B7:F15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2E851BD6-F7DD-458F-A945-3076BD380A77}" name="Creditor" totalsRowLabel="Total" dataDxfId="197" totalsRowDxfId="24"/>
    <tableColumn id="2" xr3:uid="{7A7C197D-ACB2-4E9A-ADBF-513A6463813E}" name="Balance" totalsRowFunction="sum" dataDxfId="196" totalsRowDxfId="23"/>
    <tableColumn id="3" xr3:uid="{509DBB0F-7A2D-4DDB-BF5F-377992F8DF94}" name="Interest Rate" totalsRowFunction="custom" dataDxfId="195" totalsRowDxfId="22">
      <totalsRowFormula>SUMPRODUCT(Debts20253035404550[Balance],Debts20253035404550[Interest Rate])/SUM(Debts20253035404550[Balance])</totalsRowFormula>
    </tableColumn>
    <tableColumn id="5" xr3:uid="{5F0AFAB0-D970-4248-BD99-20A5323DC660}" name="Monthly Payment" totalsRowFunction="sum" dataDxfId="194" totalsRowDxfId="21"/>
    <tableColumn id="6" xr3:uid="{B36258D9-AA6E-4539-9B4C-2258740DD5B1}" name="% of Total" totalsRowFunction="sum" dataDxfId="193" totalsRowDxfId="20">
      <calculatedColumnFormula>IF(C8&gt;0, C8/SUM($C$8:$C$28), "")</calculatedColumnFormula>
    </tableColumn>
  </tableColumns>
  <tableStyleInfo name="Squawkfox Expenses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Entertainment" displayName="Entertainment" ref="C38:Q43" totalsRowCount="1" headerRowDxfId="773" dataDxfId="772" totalsRowDxfId="771">
  <autoFilter ref="C38:Q42" xr:uid="{00000000-0009-0000-0100-000005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00000000-0010-0000-0400-000001000000}" name="ENTERTAINMENT" totalsRowLabel="Total" totalsRowDxfId="739"/>
    <tableColumn id="2" xr3:uid="{00000000-0010-0000-0400-000002000000}" name="January" totalsRowFunction="sum" dataDxfId="514" totalsRowDxfId="646"/>
    <tableColumn id="3" xr3:uid="{00000000-0010-0000-0400-000003000000}" name="February" totalsRowFunction="sum" dataDxfId="513" totalsRowDxfId="645"/>
    <tableColumn id="4" xr3:uid="{00000000-0010-0000-0400-000004000000}" name="March" totalsRowFunction="sum" dataDxfId="512" totalsRowDxfId="644"/>
    <tableColumn id="5" xr3:uid="{00000000-0010-0000-0400-000005000000}" name="April" totalsRowFunction="sum" dataDxfId="511" totalsRowDxfId="643"/>
    <tableColumn id="6" xr3:uid="{00000000-0010-0000-0400-000006000000}" name="May" totalsRowFunction="sum" dataDxfId="510" totalsRowDxfId="642"/>
    <tableColumn id="7" xr3:uid="{00000000-0010-0000-0400-000007000000}" name="June" totalsRowFunction="sum" dataDxfId="509" totalsRowDxfId="641"/>
    <tableColumn id="8" xr3:uid="{00000000-0010-0000-0400-000008000000}" name="July" totalsRowFunction="sum" dataDxfId="508" totalsRowDxfId="640"/>
    <tableColumn id="9" xr3:uid="{00000000-0010-0000-0400-000009000000}" name="August" totalsRowFunction="sum" dataDxfId="507" totalsRowDxfId="639"/>
    <tableColumn id="10" xr3:uid="{00000000-0010-0000-0400-00000A000000}" name="September" totalsRowFunction="sum" dataDxfId="506" totalsRowDxfId="638"/>
    <tableColumn id="11" xr3:uid="{00000000-0010-0000-0400-00000B000000}" name="October" totalsRowFunction="sum" dataDxfId="505" totalsRowDxfId="637"/>
    <tableColumn id="12" xr3:uid="{00000000-0010-0000-0400-00000C000000}" name="November" totalsRowFunction="sum" dataDxfId="504" totalsRowDxfId="636"/>
    <tableColumn id="13" xr3:uid="{00000000-0010-0000-0400-00000D000000}" name="December" totalsRowFunction="sum" dataDxfId="503" totalsRowDxfId="635"/>
    <tableColumn id="14" xr3:uid="{00000000-0010-0000-0400-00000E000000}" name="Year" totalsRowFunction="sum" dataDxfId="502" totalsRowDxfId="634">
      <calculatedColumnFormula>SUM(Entertainment[[#This Row],[January]:[December]])</calculatedColumnFormula>
    </tableColumn>
    <tableColumn id="15" xr3:uid="{00000000-0010-0000-0400-00000F000000}" name="Sparkline" totalsRowDxfId="738"/>
  </tableColumns>
  <tableStyleInfo showFirstColumn="1" showLastColumn="0" showRowStripes="0" showColumnStripes="1"/>
  <extLst>
    <ext xmlns:x14="http://schemas.microsoft.com/office/spreadsheetml/2009/9/main" uri="{504A1905-F514-4f6f-8877-14C23A59335A}">
      <x14:table altTextSummary="Enter Entertainment expense items and monthly amounts in this table. Annual amount and monthly Totals are auto calculated and sparklines are updated"/>
    </ext>
  </extLst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B4837474-B24D-44E8-A137-95BB79B6C8E2}" name="Summary21263136414651" displayName="Summary21263136414651" ref="B29:C37" totalsRowShown="0">
  <autoFilter ref="B29:C37" xr:uid="{00000000-0009-0000-0100-000010000000}">
    <filterColumn colId="0" hiddenButton="1"/>
    <filterColumn colId="1" hiddenButton="1"/>
  </autoFilter>
  <tableColumns count="2">
    <tableColumn id="1" xr3:uid="{94AA5E89-2620-4CDD-A7D1-2645EF29B0F8}" name=" " dataDxfId="192"/>
    <tableColumn id="2" xr3:uid="{885DFD6B-EA60-44DC-88A7-0725A8073F23}" name="Amount" dataDxfId="191"/>
  </tableColumns>
  <tableStyleInfo name="Squawkfox - Income" showFirstColumn="1" showLastColumn="1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1F1BB991-AE9F-4B03-A494-2E5E1847A742}" name="Budget22273237424752" displayName="Budget22273237424752" ref="B22:C23" totalsRowShown="0">
  <autoFilter ref="B22:C23" xr:uid="{00000000-0009-0000-0100-000011000000}">
    <filterColumn colId="0" hiddenButton="1"/>
    <filterColumn colId="1" hiddenButton="1"/>
  </autoFilter>
  <tableColumns count="2">
    <tableColumn id="1" xr3:uid="{6BB1287E-250E-43F9-B272-E6F190B070FD}" name=" " dataDxfId="190"/>
    <tableColumn id="2" xr3:uid="{B968664F-3D0A-4890-B8C6-B7A9F9F82970}" name="Amount" dataDxfId="189">
      <calculatedColumnFormula>'PERSONAL BUDGET'!K109</calculatedColumnFormula>
    </tableColumn>
  </tableColumns>
  <tableStyleInfo name="Squawkfox - Summaries" showFirstColumn="1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7773F187-C562-4818-9C78-1E5ABD4DD6D5}" name="Table1923283338434853" displayName="Table1923283338434853" ref="B72:F73" totalsRowShown="0" headerRowDxfId="188" dataDxfId="187">
  <autoFilter ref="B72:F73" xr:uid="{00000000-0009-0000-0100-000013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FA85F68D-520A-4D1C-8BD8-0943ED72D33A}" name="Creditor" dataDxfId="186">
      <calculatedColumnFormula>INDEX(Debts20253035404550[[Creditor]:[Monthly Payment]], MATCH(MAX(Debts20253035404550[Interest Rate]),Debts20253035404550[Interest Rate], 0), 1)</calculatedColumnFormula>
    </tableColumn>
    <tableColumn id="2" xr3:uid="{24CE1C79-468C-4AAB-BD0E-5DDE208941ED}" name="Balance" dataDxfId="185">
      <calculatedColumnFormula>INDEX(Debts20253035404550[[Creditor]:[Monthly Payment]], MATCH(MAX(Debts20253035404550[Interest Rate]),Debts20253035404550[Interest Rate], 0), 2)</calculatedColumnFormula>
    </tableColumn>
    <tableColumn id="3" xr3:uid="{0F250851-BB4E-45D5-B91E-A2A787B14373}" name="Interest Rate" dataDxfId="184">
      <calculatedColumnFormula>INDEX(Debts20253035404550[[Creditor]:[Monthly Payment]], MATCH(MAX(Debts20253035404550[Interest Rate]),Debts20253035404550[Interest Rate], 0), 3)</calculatedColumnFormula>
    </tableColumn>
    <tableColumn id="4" xr3:uid="{BF8957C7-C6E1-4D93-B830-589712682FE1}" name="Monthly Payment" dataDxfId="183">
      <calculatedColumnFormula>INDEX(Debts20253035404550[[Creditor]:[Monthly Payment]], MATCH(MAX(Debts20253035404550[Interest Rate]),Debts20253035404550[Interest Rate], 0), 4)</calculatedColumnFormula>
    </tableColumn>
    <tableColumn id="5" xr3:uid="{D1141BBC-C080-4B79-B4E0-2B457A926509}" name="New Payment" dataDxfId="182">
      <calculatedColumnFormula>INDEX(Debts20253035404550[[Creditor]:[Monthly Payment]], MATCH(MAX(Debts20253035404550[Interest Rate]),Debts20253035404550[Interest Rate], 0), 4) + $C$37</calculatedColumnFormula>
    </tableColumn>
  </tableColumns>
  <tableStyleInfo name="Squawkfox - Category" showFirstColumn="0" showLastColumn="0" showRowStripes="0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06364D93-5162-4CB4-BC08-A07F9729DF20}" name="Table2024293439444954" displayName="Table2024293439444954" ref="B77:F78" totalsRowShown="0" headerRowDxfId="181" dataDxfId="180">
  <autoFilter ref="B77:F78" xr:uid="{00000000-0009-0000-0100-000014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A2AF110B-E288-4690-8A36-2E7D92BEBE92}" name="Creditor" dataDxfId="179">
      <calculatedColumnFormula>INDEX(Debts20253035404550[[Creditor]:[Monthly Payment]], MATCH(MIN(Debts20253035404550[Balance]),Debts20253035404550[Balance], 0), 1)</calculatedColumnFormula>
    </tableColumn>
    <tableColumn id="2" xr3:uid="{7C3FB409-317E-47D0-BAA7-C58578A8347A}" name="Balance" dataDxfId="178">
      <calculatedColumnFormula>INDEX(Debts20253035404550[[Creditor]:[Monthly Payment]], MATCH(MIN(Debts20253035404550[Balance]),Debts20253035404550[Balance], 0), 2)</calculatedColumnFormula>
    </tableColumn>
    <tableColumn id="3" xr3:uid="{F3144EC8-6414-45A3-9465-1A581EAD3CDB}" name="Interest Rate" dataDxfId="177">
      <calculatedColumnFormula>INDEX(Debts20253035404550[[Creditor]:[Monthly Payment]], MATCH(MIN(Debts20253035404550[Balance]),Debts20253035404550[Balance], 0), 3)</calculatedColumnFormula>
    </tableColumn>
    <tableColumn id="4" xr3:uid="{B198B4A9-AED7-4F22-A6FF-5713697D57BE}" name="Monthly Payment" dataDxfId="176">
      <calculatedColumnFormula>INDEX(Debts20253035404550[[Creditor]:[Monthly Payment]], MATCH(MIN(Debts20253035404550[Balance]),Debts20253035404550[Balance], 0), 4)</calculatedColumnFormula>
    </tableColumn>
    <tableColumn id="5" xr3:uid="{4D225837-FAEB-4291-A570-F4E6454FE0AF}" name="New Payment" dataDxfId="175">
      <calculatedColumnFormula>INDEX(Debts20253035404550[[Creditor]:[Monthly Payment]], MATCH(MIN(Debts20253035404550[Balance]),Debts20253035404550[Balance], 0), 4) + $C$37</calculatedColumnFormula>
    </tableColumn>
  </tableColumns>
  <tableStyleInfo name="Squawkfox - Category" showFirstColumn="0" showLastColumn="0" showRowStripes="0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A7D92F51-8F2D-4C02-9F8E-5C925A1CC775}" name="Debts2025303540455055" displayName="Debts2025303540455055" ref="B7:F16" totalsRowCount="1" dataDxfId="173">
  <autoFilter ref="B7:F15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BA46815-D846-4897-AE3D-8CC8DE3B873C}" name="Creditor" totalsRowLabel="Total" dataDxfId="172" totalsRowDxfId="19"/>
    <tableColumn id="2" xr3:uid="{297EB33B-550A-4168-A924-CA17B535B594}" name="Balance" totalsRowFunction="sum" dataDxfId="171" totalsRowDxfId="18"/>
    <tableColumn id="3" xr3:uid="{84D5F2FD-43F9-4D75-A5C6-9FA7E2B619FC}" name="Interest Rate" totalsRowFunction="custom" dataDxfId="170" totalsRowDxfId="17">
      <totalsRowFormula>SUMPRODUCT(Debts2025303540455055[Balance],Debts2025303540455055[Interest Rate])/SUM(Debts2025303540455055[Balance])</totalsRowFormula>
    </tableColumn>
    <tableColumn id="5" xr3:uid="{8056794C-51B3-4B16-AC09-F96CFF63354A}" name="Monthly Payment" totalsRowFunction="sum" dataDxfId="169" totalsRowDxfId="16"/>
    <tableColumn id="6" xr3:uid="{B2D7706F-358D-45F6-9996-0406BAEDE10D}" name="% of Total" totalsRowFunction="sum" dataDxfId="168" totalsRowDxfId="15">
      <calculatedColumnFormula>IF(C8&gt;0, C8/SUM($C$8:$C$28), "")</calculatedColumnFormula>
    </tableColumn>
  </tableColumns>
  <tableStyleInfo name="Squawkfox Expenses" showFirstColumn="1" showLastColumn="1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ED8DEF4F-6DD4-48A4-AEBD-F95AD675A904}" name="Summary2126313641465156" displayName="Summary2126313641465156" ref="B29:C37" totalsRowShown="0">
  <autoFilter ref="B29:C37" xr:uid="{00000000-0009-0000-0100-000010000000}">
    <filterColumn colId="0" hiddenButton="1"/>
    <filterColumn colId="1" hiddenButton="1"/>
  </autoFilter>
  <tableColumns count="2">
    <tableColumn id="1" xr3:uid="{5E2677DF-D734-4C92-AD7D-074A5729D890}" name=" " dataDxfId="167"/>
    <tableColumn id="2" xr3:uid="{F8499B06-5EE0-4DC9-B698-B3F7A3C212C5}" name="Amount" dataDxfId="166"/>
  </tableColumns>
  <tableStyleInfo name="Squawkfox - Income" showFirstColumn="1" showLastColumn="1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B6350143-0F35-46C3-A40D-71ACC9402517}" name="Budget2227323742475257" displayName="Budget2227323742475257" ref="B22:C23" totalsRowShown="0">
  <autoFilter ref="B22:C23" xr:uid="{00000000-0009-0000-0100-000011000000}">
    <filterColumn colId="0" hiddenButton="1"/>
    <filterColumn colId="1" hiddenButton="1"/>
  </autoFilter>
  <tableColumns count="2">
    <tableColumn id="1" xr3:uid="{AF345BEC-B02E-460E-A16B-DE862AE5A414}" name=" " dataDxfId="165"/>
    <tableColumn id="2" xr3:uid="{3D3977E2-1766-4733-B084-2387877F4A2A}" name="Amount" dataDxfId="164">
      <calculatedColumnFormula>'PERSONAL BUDGET'!L109</calculatedColumnFormula>
    </tableColumn>
  </tableColumns>
  <tableStyleInfo name="Squawkfox - Summaries" showFirstColumn="1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BDA5230F-78B1-4DDC-B8B2-08FD32E606EF}" name="Table192328333843485358" displayName="Table192328333843485358" ref="B72:F73" totalsRowShown="0" headerRowDxfId="163" dataDxfId="162">
  <autoFilter ref="B72:F73" xr:uid="{00000000-0009-0000-0100-000013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EE12331F-377F-432D-8E0A-9235A70D531A}" name="Creditor" dataDxfId="161">
      <calculatedColumnFormula>INDEX(Debts2025303540455055[[Creditor]:[Monthly Payment]], MATCH(MAX(Debts2025303540455055[Interest Rate]),Debts2025303540455055[Interest Rate], 0), 1)</calculatedColumnFormula>
    </tableColumn>
    <tableColumn id="2" xr3:uid="{15D1980B-E0F3-4B99-AAFB-2BCA24EC0845}" name="Balance" dataDxfId="160">
      <calculatedColumnFormula>INDEX(Debts2025303540455055[[Creditor]:[Monthly Payment]], MATCH(MAX(Debts2025303540455055[Interest Rate]),Debts2025303540455055[Interest Rate], 0), 2)</calculatedColumnFormula>
    </tableColumn>
    <tableColumn id="3" xr3:uid="{61C95597-830F-484D-8B2E-05480E2136B7}" name="Interest Rate" dataDxfId="159">
      <calculatedColumnFormula>INDEX(Debts2025303540455055[[Creditor]:[Monthly Payment]], MATCH(MAX(Debts2025303540455055[Interest Rate]),Debts2025303540455055[Interest Rate], 0), 3)</calculatedColumnFormula>
    </tableColumn>
    <tableColumn id="4" xr3:uid="{3D27E748-E240-476F-A73C-A926C524FBAF}" name="Monthly Payment" dataDxfId="158">
      <calculatedColumnFormula>INDEX(Debts2025303540455055[[Creditor]:[Monthly Payment]], MATCH(MAX(Debts2025303540455055[Interest Rate]),Debts2025303540455055[Interest Rate], 0), 4)</calculatedColumnFormula>
    </tableColumn>
    <tableColumn id="5" xr3:uid="{B1544453-E0D8-4487-8328-017D98BE0E22}" name="New Payment" dataDxfId="157">
      <calculatedColumnFormula>INDEX(Debts2025303540455055[[Creditor]:[Monthly Payment]], MATCH(MAX(Debts2025303540455055[Interest Rate]),Debts2025303540455055[Interest Rate], 0), 4) + $C$37</calculatedColumnFormula>
    </tableColumn>
  </tableColumns>
  <tableStyleInfo name="Squawkfox - Category" showFirstColumn="0" showLastColumn="0" showRowStripes="0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74D5A80B-3442-4677-85EF-327EE4E9D6DE}" name="Table202429343944495459" displayName="Table202429343944495459" ref="B77:F78" totalsRowShown="0" headerRowDxfId="156" dataDxfId="155">
  <autoFilter ref="B77:F78" xr:uid="{00000000-0009-0000-0100-000014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DB33A6EA-3ABA-4985-8F23-F3565F3CF548}" name="Creditor" dataDxfId="154">
      <calculatedColumnFormula>INDEX(Debts2025303540455055[[Creditor]:[Monthly Payment]], MATCH(MIN(Debts2025303540455055[Balance]),Debts2025303540455055[Balance], 0), 1)</calculatedColumnFormula>
    </tableColumn>
    <tableColumn id="2" xr3:uid="{3626F813-3330-4387-A100-90A0AFEC4FE1}" name="Balance" dataDxfId="153">
      <calculatedColumnFormula>INDEX(Debts2025303540455055[[Creditor]:[Monthly Payment]], MATCH(MIN(Debts2025303540455055[Balance]),Debts2025303540455055[Balance], 0), 2)</calculatedColumnFormula>
    </tableColumn>
    <tableColumn id="3" xr3:uid="{CF36D6A8-FD3B-4128-9179-1FEEEF3BD484}" name="Interest Rate" dataDxfId="152">
      <calculatedColumnFormula>INDEX(Debts2025303540455055[[Creditor]:[Monthly Payment]], MATCH(MIN(Debts2025303540455055[Balance]),Debts2025303540455055[Balance], 0), 3)</calculatedColumnFormula>
    </tableColumn>
    <tableColumn id="4" xr3:uid="{4C026022-D302-4498-8F87-6321B161DAF8}" name="Monthly Payment" dataDxfId="151">
      <calculatedColumnFormula>INDEX(Debts2025303540455055[[Creditor]:[Monthly Payment]], MATCH(MIN(Debts2025303540455055[Balance]),Debts2025303540455055[Balance], 0), 4)</calculatedColumnFormula>
    </tableColumn>
    <tableColumn id="5" xr3:uid="{6FD8106A-73A6-41A5-858B-D66F469B1B0F}" name="New Payment" dataDxfId="150">
      <calculatedColumnFormula>INDEX(Debts2025303540455055[[Creditor]:[Monthly Payment]], MATCH(MIN(Debts2025303540455055[Balance]),Debts2025303540455055[Balance], 0), 4) + $C$37</calculatedColumnFormula>
    </tableColumn>
  </tableColumns>
  <tableStyleInfo name="Squawkfox - Category" showFirstColumn="0" showLastColumn="0" showRowStripes="0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AC6FE420-811B-4333-A0F5-99FFCCB6B3DA}" name="Debts202530354045505560" displayName="Debts202530354045505560" ref="B7:F16" totalsRowCount="1" dataDxfId="148">
  <autoFilter ref="B7:F15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597A0E96-341A-4F82-8C55-B5DB1A8AD97F}" name="Creditor" totalsRowLabel="Total" dataDxfId="147" totalsRowDxfId="14"/>
    <tableColumn id="2" xr3:uid="{CDDB19FB-E191-4292-BAF7-4074018283B9}" name="Balance" totalsRowFunction="sum" dataDxfId="146" totalsRowDxfId="13"/>
    <tableColumn id="3" xr3:uid="{7F3241A6-3C54-4671-8F35-597E881F0D6A}" name="Interest Rate" totalsRowFunction="custom" dataDxfId="145" totalsRowDxfId="12">
      <totalsRowFormula>SUMPRODUCT(Debts202530354045505560[Balance],Debts202530354045505560[Interest Rate])/SUM(Debts202530354045505560[Balance])</totalsRowFormula>
    </tableColumn>
    <tableColumn id="5" xr3:uid="{1A09B81A-7CCF-450B-A68E-1274E3CF3262}" name="Monthly Payment" totalsRowFunction="sum" dataDxfId="144" totalsRowDxfId="11"/>
    <tableColumn id="6" xr3:uid="{BC06E193-E4FB-4A79-8F88-09386408CA35}" name="% of Total" totalsRowFunction="sum" dataDxfId="143" totalsRowDxfId="10">
      <calculatedColumnFormula>IF(C8&gt;0, C8/SUM($C$8:$C$28), "")</calculatedColumnFormula>
    </tableColumn>
  </tableColumns>
  <tableStyleInfo name="Squawkfox Expenses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Health" displayName="Health" ref="C45:Q53" totalsRowCount="1" headerRowDxfId="770" dataDxfId="769" totalsRowDxfId="768">
  <autoFilter ref="C45:Q52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00000000-0010-0000-0500-000001000000}" name="HEALTH" totalsRowLabel="Total" totalsRowDxfId="741"/>
    <tableColumn id="2" xr3:uid="{00000000-0010-0000-0500-000002000000}" name="January" totalsRowFunction="sum" dataDxfId="501" totalsRowDxfId="647"/>
    <tableColumn id="3" xr3:uid="{00000000-0010-0000-0500-000003000000}" name="February" totalsRowFunction="sum" dataDxfId="500" totalsRowDxfId="648"/>
    <tableColumn id="4" xr3:uid="{00000000-0010-0000-0500-000004000000}" name="March" totalsRowFunction="sum" dataDxfId="499" totalsRowDxfId="649"/>
    <tableColumn id="5" xr3:uid="{00000000-0010-0000-0500-000005000000}" name="April" totalsRowFunction="sum" dataDxfId="498" totalsRowDxfId="650"/>
    <tableColumn id="6" xr3:uid="{00000000-0010-0000-0500-000006000000}" name="May" totalsRowFunction="sum" dataDxfId="497" totalsRowDxfId="651"/>
    <tableColumn id="7" xr3:uid="{00000000-0010-0000-0500-000007000000}" name="June" totalsRowFunction="sum" dataDxfId="496" totalsRowDxfId="652"/>
    <tableColumn id="8" xr3:uid="{00000000-0010-0000-0500-000008000000}" name="July" totalsRowFunction="sum" dataDxfId="495" totalsRowDxfId="653"/>
    <tableColumn id="9" xr3:uid="{00000000-0010-0000-0500-000009000000}" name="August" totalsRowFunction="sum" dataDxfId="494" totalsRowDxfId="654"/>
    <tableColumn id="10" xr3:uid="{00000000-0010-0000-0500-00000A000000}" name="September" totalsRowFunction="sum" dataDxfId="493" totalsRowDxfId="655"/>
    <tableColumn id="11" xr3:uid="{00000000-0010-0000-0500-00000B000000}" name="October" totalsRowFunction="sum" dataDxfId="492" totalsRowDxfId="656"/>
    <tableColumn id="12" xr3:uid="{00000000-0010-0000-0500-00000C000000}" name="November" totalsRowFunction="sum" dataDxfId="491" totalsRowDxfId="657"/>
    <tableColumn id="13" xr3:uid="{00000000-0010-0000-0500-00000D000000}" name="December" totalsRowFunction="sum" dataDxfId="490" totalsRowDxfId="658"/>
    <tableColumn id="14" xr3:uid="{00000000-0010-0000-0500-00000E000000}" name="Year" totalsRowFunction="sum" dataDxfId="489" totalsRowDxfId="659">
      <calculatedColumnFormula>SUM(Health[[#This Row],[January]:[December]])</calculatedColumnFormula>
    </tableColumn>
    <tableColumn id="15" xr3:uid="{00000000-0010-0000-0500-00000F000000}" name="Sparkline" totalsRowDxfId="740"/>
  </tableColumns>
  <tableStyleInfo showFirstColumn="1" showLastColumn="0" showRowStripes="0" showColumnStripes="1"/>
  <extLst>
    <ext xmlns:x14="http://schemas.microsoft.com/office/spreadsheetml/2009/9/main" uri="{504A1905-F514-4f6f-8877-14C23A59335A}">
      <x14:table altTextSummary="Enter Health expense items and monthly amounts in this table. Annual amount and monthly Totals are auto calculated and sparklines are updated"/>
    </ext>
  </extLst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00AFB678-B42C-4529-B6E1-260D633901B6}" name="Summary212631364146515661" displayName="Summary212631364146515661" ref="B29:C37" totalsRowShown="0">
  <autoFilter ref="B29:C37" xr:uid="{00000000-0009-0000-0100-000010000000}">
    <filterColumn colId="0" hiddenButton="1"/>
    <filterColumn colId="1" hiddenButton="1"/>
  </autoFilter>
  <tableColumns count="2">
    <tableColumn id="1" xr3:uid="{9000B846-8B96-4984-B650-13E651F19564}" name=" " dataDxfId="142"/>
    <tableColumn id="2" xr3:uid="{BF9B02EB-5CC6-4DC3-ADFD-A01A8024E57B}" name="Amount" dataDxfId="141"/>
  </tableColumns>
  <tableStyleInfo name="Squawkfox - Income" showFirstColumn="1" showLastColumn="1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643376EF-B3CE-47A5-9B1A-D1EAC7AE9570}" name="Budget222732374247525762" displayName="Budget222732374247525762" ref="B22:C23" totalsRowShown="0">
  <autoFilter ref="B22:C23" xr:uid="{00000000-0009-0000-0100-000011000000}">
    <filterColumn colId="0" hiddenButton="1"/>
    <filterColumn colId="1" hiddenButton="1"/>
  </autoFilter>
  <tableColumns count="2">
    <tableColumn id="1" xr3:uid="{AF8FF3B2-691C-4914-ADCB-9F03A39EA2A8}" name=" " dataDxfId="140"/>
    <tableColumn id="2" xr3:uid="{C1F6A7F0-E971-43D4-8763-4AE2FDD37222}" name="Amount" dataDxfId="139">
      <calculatedColumnFormula>'PERSONAL BUDGET'!M109</calculatedColumnFormula>
    </tableColumn>
  </tableColumns>
  <tableStyleInfo name="Squawkfox - Summaries" showFirstColumn="1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968CE40E-929E-437F-8488-DF6A92CFEFFC}" name="Table19232833384348535863" displayName="Table19232833384348535863" ref="B72:F73" totalsRowShown="0" headerRowDxfId="138" dataDxfId="137">
  <autoFilter ref="B72:F73" xr:uid="{00000000-0009-0000-0100-000013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3780FB02-DDAA-4ED6-889A-3641A5F3690B}" name="Creditor" dataDxfId="136">
      <calculatedColumnFormula>INDEX(Debts202530354045505560[[Creditor]:[Monthly Payment]], MATCH(MAX(Debts202530354045505560[Interest Rate]),Debts202530354045505560[Interest Rate], 0), 1)</calculatedColumnFormula>
    </tableColumn>
    <tableColumn id="2" xr3:uid="{DA37BAB9-D66B-4C48-8DBD-6062CBD61473}" name="Balance" dataDxfId="135">
      <calculatedColumnFormula>INDEX(Debts202530354045505560[[Creditor]:[Monthly Payment]], MATCH(MAX(Debts202530354045505560[Interest Rate]),Debts202530354045505560[Interest Rate], 0), 2)</calculatedColumnFormula>
    </tableColumn>
    <tableColumn id="3" xr3:uid="{5BF6AC6B-8584-41D5-B576-BD2D30E8AA93}" name="Interest Rate" dataDxfId="134">
      <calculatedColumnFormula>INDEX(Debts202530354045505560[[Creditor]:[Monthly Payment]], MATCH(MAX(Debts202530354045505560[Interest Rate]),Debts202530354045505560[Interest Rate], 0), 3)</calculatedColumnFormula>
    </tableColumn>
    <tableColumn id="4" xr3:uid="{FE402A51-3EAB-474E-935D-21186C06314C}" name="Monthly Payment" dataDxfId="133">
      <calculatedColumnFormula>INDEX(Debts202530354045505560[[Creditor]:[Monthly Payment]], MATCH(MAX(Debts202530354045505560[Interest Rate]),Debts202530354045505560[Interest Rate], 0), 4)</calculatedColumnFormula>
    </tableColumn>
    <tableColumn id="5" xr3:uid="{24539A2C-B1ED-4A07-A952-CDE2C4649D0F}" name="New Payment" dataDxfId="132">
      <calculatedColumnFormula>INDEX(Debts202530354045505560[[Creditor]:[Monthly Payment]], MATCH(MAX(Debts202530354045505560[Interest Rate]),Debts202530354045505560[Interest Rate], 0), 4) + $C$37</calculatedColumnFormula>
    </tableColumn>
  </tableColumns>
  <tableStyleInfo name="Squawkfox - Category" showFirstColumn="0" showLastColumn="0" showRowStripes="0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2FEDC5A8-6A32-4869-BBE9-D6061C5801B4}" name="Table20242934394449545964" displayName="Table20242934394449545964" ref="B77:F78" totalsRowShown="0" headerRowDxfId="131" dataDxfId="130">
  <autoFilter ref="B77:F78" xr:uid="{00000000-0009-0000-0100-000014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51B6D002-8459-4B8B-AACE-9FB3DB18B8DF}" name="Creditor" dataDxfId="129">
      <calculatedColumnFormula>INDEX(Debts202530354045505560[[Creditor]:[Monthly Payment]], MATCH(MIN(Debts202530354045505560[Balance]),Debts202530354045505560[Balance], 0), 1)</calculatedColumnFormula>
    </tableColumn>
    <tableColumn id="2" xr3:uid="{3D1F582D-FA5C-4F65-97D5-28C0133B163B}" name="Balance" dataDxfId="128">
      <calculatedColumnFormula>INDEX(Debts202530354045505560[[Creditor]:[Monthly Payment]], MATCH(MIN(Debts202530354045505560[Balance]),Debts202530354045505560[Balance], 0), 2)</calculatedColumnFormula>
    </tableColumn>
    <tableColumn id="3" xr3:uid="{2022A0F1-9A45-4FF8-A4F2-05388A96F1EF}" name="Interest Rate" dataDxfId="127">
      <calculatedColumnFormula>INDEX(Debts202530354045505560[[Creditor]:[Monthly Payment]], MATCH(MIN(Debts202530354045505560[Balance]),Debts202530354045505560[Balance], 0), 3)</calculatedColumnFormula>
    </tableColumn>
    <tableColumn id="4" xr3:uid="{5A2CA198-4246-4D55-9BA1-86D391870A80}" name="Monthly Payment" dataDxfId="126">
      <calculatedColumnFormula>INDEX(Debts202530354045505560[[Creditor]:[Monthly Payment]], MATCH(MIN(Debts202530354045505560[Balance]),Debts202530354045505560[Balance], 0), 4)</calculatedColumnFormula>
    </tableColumn>
    <tableColumn id="5" xr3:uid="{13733C19-5F0C-40DB-9009-4AAC09BDF181}" name="New Payment" dataDxfId="125">
      <calculatedColumnFormula>INDEX(Debts202530354045505560[[Creditor]:[Monthly Payment]], MATCH(MIN(Debts202530354045505560[Balance]),Debts202530354045505560[Balance], 0), 4) + $C$37</calculatedColumnFormula>
    </tableColumn>
  </tableColumns>
  <tableStyleInfo name="Squawkfox - Category" showFirstColumn="0" showLastColumn="0" showRowStripes="0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C16A5E16-00F8-4619-9926-E10B397F5363}" name="Debts20253035404550556065" displayName="Debts20253035404550556065" ref="B7:F16" totalsRowCount="1" dataDxfId="123">
  <autoFilter ref="B7:F15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67143516-EC7A-4BCF-AAF0-D385B2E96513}" name="Creditor" totalsRowLabel="Total" dataDxfId="122" totalsRowDxfId="9"/>
    <tableColumn id="2" xr3:uid="{3D3F5CFC-AA53-4F8A-9AE0-B4A5016ACF7B}" name="Balance" totalsRowFunction="sum" dataDxfId="121" totalsRowDxfId="8"/>
    <tableColumn id="3" xr3:uid="{A4986692-2E20-44E0-910E-2890802A8E5D}" name="Interest Rate" totalsRowFunction="custom" dataDxfId="120" totalsRowDxfId="7">
      <totalsRowFormula>SUMPRODUCT(Debts20253035404550556065[Balance],Debts20253035404550556065[Interest Rate])/SUM(Debts20253035404550556065[Balance])</totalsRowFormula>
    </tableColumn>
    <tableColumn id="5" xr3:uid="{9F468146-BCE4-44BE-8E75-5279982ED407}" name="Monthly Payment" totalsRowFunction="sum" dataDxfId="119" totalsRowDxfId="6"/>
    <tableColumn id="6" xr3:uid="{81DEADC7-557A-42CF-B25C-1CBE5B52068F}" name="% of Total" totalsRowFunction="sum" dataDxfId="118" totalsRowDxfId="5">
      <calculatedColumnFormula>IF(C8&gt;0, C8/SUM($C$8:$C$28), "")</calculatedColumnFormula>
    </tableColumn>
  </tableColumns>
  <tableStyleInfo name="Squawkfox Expenses" showFirstColumn="1" showLastColumn="1" showRowStripes="1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8AD354EF-706F-495C-A5A9-38EFD4D21225}" name="Summary21263136414651566166" displayName="Summary21263136414651566166" ref="B29:C37" totalsRowShown="0">
  <autoFilter ref="B29:C37" xr:uid="{00000000-0009-0000-0100-000010000000}">
    <filterColumn colId="0" hiddenButton="1"/>
    <filterColumn colId="1" hiddenButton="1"/>
  </autoFilter>
  <tableColumns count="2">
    <tableColumn id="1" xr3:uid="{CA9AD2C1-FE8D-477C-80D9-5C5EE8B6A2E8}" name=" " dataDxfId="117"/>
    <tableColumn id="2" xr3:uid="{A88A30F5-EEF0-4F6C-BC26-A07DB87C2382}" name="Amount" dataDxfId="116"/>
  </tableColumns>
  <tableStyleInfo name="Squawkfox - Income" showFirstColumn="1" showLastColumn="1" showRowStripes="1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231A6941-60C7-4DD8-B2DD-AC417944EAEE}" name="Budget22273237424752576267" displayName="Budget22273237424752576267" ref="B22:C23" totalsRowShown="0">
  <autoFilter ref="B22:C23" xr:uid="{00000000-0009-0000-0100-000011000000}">
    <filterColumn colId="0" hiddenButton="1"/>
    <filterColumn colId="1" hiddenButton="1"/>
  </autoFilter>
  <tableColumns count="2">
    <tableColumn id="1" xr3:uid="{07A55C4E-991F-4C9B-B9C1-C8926371545B}" name=" " dataDxfId="115"/>
    <tableColumn id="2" xr3:uid="{AB77252A-FD8B-4B05-BFC2-4416526D5669}" name="Amount" dataDxfId="114">
      <calculatedColumnFormula>'PERSONAL BUDGET'!N109</calculatedColumnFormula>
    </tableColumn>
  </tableColumns>
  <tableStyleInfo name="Squawkfox - Summaries" showFirstColumn="1" showLastColumn="0" showRowStripes="1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632DAE57-2CA1-4B02-AC2B-7B3E131EC282}" name="Table1923283338434853586368" displayName="Table1923283338434853586368" ref="B72:F73" totalsRowShown="0" headerRowDxfId="113" dataDxfId="112">
  <autoFilter ref="B72:F73" xr:uid="{00000000-0009-0000-0100-000013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370C5DA-72F1-47FE-AA8D-68151289A5DD}" name="Creditor" dataDxfId="111">
      <calculatedColumnFormula>INDEX(Debts20253035404550556065[[Creditor]:[Monthly Payment]], MATCH(MAX(Debts20253035404550556065[Interest Rate]),Debts20253035404550556065[Interest Rate], 0), 1)</calculatedColumnFormula>
    </tableColumn>
    <tableColumn id="2" xr3:uid="{763F0F3B-40C5-4749-9C3B-6CBE3BBE6613}" name="Balance" dataDxfId="110">
      <calculatedColumnFormula>INDEX(Debts20253035404550556065[[Creditor]:[Monthly Payment]], MATCH(MAX(Debts20253035404550556065[Interest Rate]),Debts20253035404550556065[Interest Rate], 0), 2)</calculatedColumnFormula>
    </tableColumn>
    <tableColumn id="3" xr3:uid="{B915ED28-135B-406C-A2D8-D65D2C19F2B9}" name="Interest Rate" dataDxfId="109">
      <calculatedColumnFormula>INDEX(Debts20253035404550556065[[Creditor]:[Monthly Payment]], MATCH(MAX(Debts20253035404550556065[Interest Rate]),Debts20253035404550556065[Interest Rate], 0), 3)</calculatedColumnFormula>
    </tableColumn>
    <tableColumn id="4" xr3:uid="{E12DE699-93E2-4BB4-9B76-DA01853D8C5A}" name="Monthly Payment" dataDxfId="108">
      <calculatedColumnFormula>INDEX(Debts20253035404550556065[[Creditor]:[Monthly Payment]], MATCH(MAX(Debts20253035404550556065[Interest Rate]),Debts20253035404550556065[Interest Rate], 0), 4)</calculatedColumnFormula>
    </tableColumn>
    <tableColumn id="5" xr3:uid="{A459D9C2-2494-4BFA-A01C-A0ED3C4508CA}" name="New Payment" dataDxfId="107">
      <calculatedColumnFormula>INDEX(Debts20253035404550556065[[Creditor]:[Monthly Payment]], MATCH(MAX(Debts20253035404550556065[Interest Rate]),Debts20253035404550556065[Interest Rate], 0), 4) + $C$37</calculatedColumnFormula>
    </tableColumn>
  </tableColumns>
  <tableStyleInfo name="Squawkfox - Category" showFirstColumn="0" showLastColumn="0" showRowStripes="0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EC2094EB-65E3-4612-8110-73406057EDEF}" name="Table2024293439444954596469" displayName="Table2024293439444954596469" ref="B77:F78" totalsRowShown="0" headerRowDxfId="106" dataDxfId="105">
  <autoFilter ref="B77:F78" xr:uid="{00000000-0009-0000-0100-000014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9ED353B-6494-4496-97F5-2CCC8894DDA7}" name="Creditor" dataDxfId="104">
      <calculatedColumnFormula>INDEX(Debts20253035404550556065[[Creditor]:[Monthly Payment]], MATCH(MIN(Debts20253035404550556065[Balance]),Debts20253035404550556065[Balance], 0), 1)</calculatedColumnFormula>
    </tableColumn>
    <tableColumn id="2" xr3:uid="{CEBA7FA5-E3B4-4E60-A809-0867EB692F4A}" name="Balance" dataDxfId="103">
      <calculatedColumnFormula>INDEX(Debts20253035404550556065[[Creditor]:[Monthly Payment]], MATCH(MIN(Debts20253035404550556065[Balance]),Debts20253035404550556065[Balance], 0), 2)</calculatedColumnFormula>
    </tableColumn>
    <tableColumn id="3" xr3:uid="{EE119F5A-533B-4B3C-A263-5BCD95FD7BB6}" name="Interest Rate" dataDxfId="102">
      <calculatedColumnFormula>INDEX(Debts20253035404550556065[[Creditor]:[Monthly Payment]], MATCH(MIN(Debts20253035404550556065[Balance]),Debts20253035404550556065[Balance], 0), 3)</calculatedColumnFormula>
    </tableColumn>
    <tableColumn id="4" xr3:uid="{1D49F7D6-B99F-482C-8D80-975EE9B0781F}" name="Monthly Payment" dataDxfId="101">
      <calculatedColumnFormula>INDEX(Debts20253035404550556065[[Creditor]:[Monthly Payment]], MATCH(MIN(Debts20253035404550556065[Balance]),Debts20253035404550556065[Balance], 0), 4)</calculatedColumnFormula>
    </tableColumn>
    <tableColumn id="5" xr3:uid="{D4358584-0122-49BD-9F02-DC698DBBC7C8}" name="New Payment" dataDxfId="100">
      <calculatedColumnFormula>INDEX(Debts20253035404550556065[[Creditor]:[Monthly Payment]], MATCH(MIN(Debts20253035404550556065[Balance]),Debts20253035404550556065[Balance], 0), 4) + $C$37</calculatedColumnFormula>
    </tableColumn>
  </tableColumns>
  <tableStyleInfo name="Squawkfox - Category" showFirstColumn="0" showLastColumn="0" showRowStripes="0" showColumnStripes="0"/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0AE86725-6AD3-462E-B3DD-B77401949F91}" name="Debts2025303540455055606570" displayName="Debts2025303540455055606570" ref="B7:F16" totalsRowCount="1" dataDxfId="98">
  <autoFilter ref="B7:F15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CA09983C-71F4-4C26-98B4-D5559AC19C72}" name="Creditor" totalsRowLabel="Total" dataDxfId="97" totalsRowDxfId="4"/>
    <tableColumn id="2" xr3:uid="{F2ECF3F8-D010-4265-BAC6-8C973134147B}" name="Balance" totalsRowFunction="sum" dataDxfId="96" totalsRowDxfId="3"/>
    <tableColumn id="3" xr3:uid="{480B1AFE-3173-481C-9AEA-80D58BAA9946}" name="Interest Rate" totalsRowFunction="custom" dataDxfId="95" totalsRowDxfId="2">
      <totalsRowFormula>SUMPRODUCT(Debts2025303540455055606570[Balance],Debts2025303540455055606570[Interest Rate])/SUM(Debts2025303540455055606570[Balance])</totalsRowFormula>
    </tableColumn>
    <tableColumn id="5" xr3:uid="{E9DA91B6-EFEA-4107-8B05-E2CA7A6EDE08}" name="Monthly Payment" totalsRowFunction="sum" dataDxfId="94" totalsRowDxfId="1"/>
    <tableColumn id="6" xr3:uid="{E3B121AD-66D1-4722-9529-5DBFE9CE598C}" name="% of Total" totalsRowFunction="sum" dataDxfId="93" totalsRowDxfId="0">
      <calculatedColumnFormula>IF(C8&gt;0, C8/SUM($C$8:$C$28), "")</calculatedColumnFormula>
    </tableColumn>
  </tableColumns>
  <tableStyleInfo name="Squawkfox Expenses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Vacations" displayName="Vacations" ref="C55:Q62" totalsRowCount="1" headerRowDxfId="767" dataDxfId="766" totalsRowDxfId="765">
  <autoFilter ref="C55:Q61" xr:uid="{00000000-0009-0000-0100-000007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00000000-0010-0000-0600-000001000000}" name="VACATIONS" totalsRowLabel="Total" totalsRowDxfId="691"/>
    <tableColumn id="2" xr3:uid="{00000000-0010-0000-0600-000002000000}" name="January" totalsRowFunction="sum" dataDxfId="488" totalsRowDxfId="633"/>
    <tableColumn id="3" xr3:uid="{00000000-0010-0000-0600-000003000000}" name="February" totalsRowFunction="sum" dataDxfId="487" totalsRowDxfId="632"/>
    <tableColumn id="4" xr3:uid="{00000000-0010-0000-0600-000004000000}" name="March" totalsRowFunction="sum" dataDxfId="486" totalsRowDxfId="631"/>
    <tableColumn id="5" xr3:uid="{00000000-0010-0000-0600-000005000000}" name="April" totalsRowFunction="sum" dataDxfId="485" totalsRowDxfId="630"/>
    <tableColumn id="6" xr3:uid="{00000000-0010-0000-0600-000006000000}" name="May" totalsRowFunction="sum" dataDxfId="484" totalsRowDxfId="629"/>
    <tableColumn id="7" xr3:uid="{00000000-0010-0000-0600-000007000000}" name="June" totalsRowFunction="sum" dataDxfId="483" totalsRowDxfId="628"/>
    <tableColumn id="8" xr3:uid="{00000000-0010-0000-0600-000008000000}" name="July" totalsRowFunction="sum" dataDxfId="482" totalsRowDxfId="627"/>
    <tableColumn id="9" xr3:uid="{00000000-0010-0000-0600-000009000000}" name="August" totalsRowFunction="sum" dataDxfId="481" totalsRowDxfId="626"/>
    <tableColumn id="10" xr3:uid="{00000000-0010-0000-0600-00000A000000}" name="September" totalsRowFunction="sum" dataDxfId="480" totalsRowDxfId="625"/>
    <tableColumn id="11" xr3:uid="{00000000-0010-0000-0600-00000B000000}" name="October" totalsRowFunction="sum" dataDxfId="479" totalsRowDxfId="624"/>
    <tableColumn id="12" xr3:uid="{00000000-0010-0000-0600-00000C000000}" name="November" totalsRowFunction="sum" dataDxfId="478" totalsRowDxfId="623"/>
    <tableColumn id="13" xr3:uid="{00000000-0010-0000-0600-00000D000000}" name="December" totalsRowFunction="sum" dataDxfId="477" totalsRowDxfId="622"/>
    <tableColumn id="14" xr3:uid="{00000000-0010-0000-0600-00000E000000}" name="Year" totalsRowFunction="sum" dataDxfId="476" totalsRowDxfId="621">
      <calculatedColumnFormula>SUM(Vacations[[#This Row],[January]:[December]])</calculatedColumnFormula>
    </tableColumn>
    <tableColumn id="15" xr3:uid="{00000000-0010-0000-0600-00000F000000}" name="Sparkline" totalsRowDxfId="690"/>
  </tableColumns>
  <tableStyleInfo showFirstColumn="1" showLastColumn="0" showRowStripes="0" showColumnStripes="1"/>
  <extLst>
    <ext xmlns:x14="http://schemas.microsoft.com/office/spreadsheetml/2009/9/main" uri="{504A1905-F514-4f6f-8877-14C23A59335A}">
      <x14:table altTextSummary="Enter Vacations expense items and monthly amounts in this table. Annual amount and monthly Totals are auto calculated and sparklines are updated"/>
    </ext>
  </extLst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0BF24CB7-AF7B-4DC0-94D9-A6503030382D}" name="Summary2126313641465156616671" displayName="Summary2126313641465156616671" ref="B29:C37" totalsRowShown="0">
  <autoFilter ref="B29:C37" xr:uid="{00000000-0009-0000-0100-000010000000}">
    <filterColumn colId="0" hiddenButton="1"/>
    <filterColumn colId="1" hiddenButton="1"/>
  </autoFilter>
  <tableColumns count="2">
    <tableColumn id="1" xr3:uid="{F1266EB7-85A9-4C74-BDCC-34686885B572}" name=" " dataDxfId="92"/>
    <tableColumn id="2" xr3:uid="{9D3F9D16-0956-4388-B344-ABE0516A04AB}" name="Amount" dataDxfId="91"/>
  </tableColumns>
  <tableStyleInfo name="Squawkfox - Income" showFirstColumn="1" showLastColumn="1" showRowStripes="1" showColumnStripes="0"/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8D0931C2-B3EF-496E-B34D-B9F88972F46E}" name="Budget2227323742475257626772" displayName="Budget2227323742475257626772" ref="B22:C23" totalsRowShown="0">
  <autoFilter ref="B22:C23" xr:uid="{00000000-0009-0000-0100-000011000000}">
    <filterColumn colId="0" hiddenButton="1"/>
    <filterColumn colId="1" hiddenButton="1"/>
  </autoFilter>
  <tableColumns count="2">
    <tableColumn id="1" xr3:uid="{BB019600-A8D3-413E-B6C4-C496EC16179E}" name=" " dataDxfId="90"/>
    <tableColumn id="2" xr3:uid="{55D31A8F-DDE7-4A5B-A077-EC1D28AA9888}" name="Amount" dataDxfId="89">
      <calculatedColumnFormula>'PERSONAL BUDGET'!O109</calculatedColumnFormula>
    </tableColumn>
  </tableColumns>
  <tableStyleInfo name="Squawkfox - Summaries" showFirstColumn="1" showLastColumn="0" showRowStripes="1" showColumnStripes="0"/>
</table>
</file>

<file path=xl/tables/table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9D2798A0-9441-4EF8-9E6E-5F6E4D6D7B70}" name="Table192328333843485358636873" displayName="Table192328333843485358636873" ref="B72:F73" totalsRowShown="0" headerRowDxfId="88" dataDxfId="87">
  <autoFilter ref="B72:F73" xr:uid="{00000000-0009-0000-0100-000013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7EB88F27-322C-44DD-91ED-084311D00BF8}" name="Creditor" dataDxfId="86">
      <calculatedColumnFormula>INDEX(Debts2025303540455055606570[[Creditor]:[Monthly Payment]], MATCH(MAX(Debts2025303540455055606570[Interest Rate]),Debts2025303540455055606570[Interest Rate], 0), 1)</calculatedColumnFormula>
    </tableColumn>
    <tableColumn id="2" xr3:uid="{38127BDA-36C6-4057-B40C-91CE9BF4A094}" name="Balance" dataDxfId="85">
      <calculatedColumnFormula>INDEX(Debts2025303540455055606570[[Creditor]:[Monthly Payment]], MATCH(MAX(Debts2025303540455055606570[Interest Rate]),Debts2025303540455055606570[Interest Rate], 0), 2)</calculatedColumnFormula>
    </tableColumn>
    <tableColumn id="3" xr3:uid="{3A43AA69-2087-4A08-BB4D-4A97915BAF22}" name="Interest Rate" dataDxfId="84">
      <calculatedColumnFormula>INDEX(Debts2025303540455055606570[[Creditor]:[Monthly Payment]], MATCH(MAX(Debts2025303540455055606570[Interest Rate]),Debts2025303540455055606570[Interest Rate], 0), 3)</calculatedColumnFormula>
    </tableColumn>
    <tableColumn id="4" xr3:uid="{AC7AAA27-2B16-4311-A499-3245F55A80E3}" name="Monthly Payment" dataDxfId="83">
      <calculatedColumnFormula>INDEX(Debts2025303540455055606570[[Creditor]:[Monthly Payment]], MATCH(MAX(Debts2025303540455055606570[Interest Rate]),Debts2025303540455055606570[Interest Rate], 0), 4)</calculatedColumnFormula>
    </tableColumn>
    <tableColumn id="5" xr3:uid="{31AC89A1-283E-4848-88FC-8DCBE4FD3836}" name="New Payment" dataDxfId="82">
      <calculatedColumnFormula>INDEX(Debts2025303540455055606570[[Creditor]:[Monthly Payment]], MATCH(MAX(Debts2025303540455055606570[Interest Rate]),Debts2025303540455055606570[Interest Rate], 0), 4) + $C$37</calculatedColumnFormula>
    </tableColumn>
  </tableColumns>
  <tableStyleInfo name="Squawkfox - Category" showFirstColumn="0" showLastColumn="0" showRowStripes="0" showColumnStripes="0"/>
</table>
</file>

<file path=xl/tables/table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B1D243AB-B0DF-4FE2-8C42-D8026EF5E602}" name="Table202429343944495459646974" displayName="Table202429343944495459646974" ref="B77:F78" totalsRowShown="0" headerRowDxfId="81" dataDxfId="80">
  <autoFilter ref="B77:F78" xr:uid="{00000000-0009-0000-0100-000014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FEEB262F-9210-4F58-81D7-D4494324B996}" name="Creditor" dataDxfId="79">
      <calculatedColumnFormula>INDEX(Debts2025303540455055606570[[Creditor]:[Monthly Payment]], MATCH(MIN(Debts2025303540455055606570[Balance]),Debts2025303540455055606570[Balance], 0), 1)</calculatedColumnFormula>
    </tableColumn>
    <tableColumn id="2" xr3:uid="{97B996D3-60F3-41B6-833A-CF25C3405A07}" name="Balance" dataDxfId="78">
      <calculatedColumnFormula>INDEX(Debts2025303540455055606570[[Creditor]:[Monthly Payment]], MATCH(MIN(Debts2025303540455055606570[Balance]),Debts2025303540455055606570[Balance], 0), 2)</calculatedColumnFormula>
    </tableColumn>
    <tableColumn id="3" xr3:uid="{56D71D09-5735-4CA5-9E29-EAC2D9B6E444}" name="Interest Rate" dataDxfId="77">
      <calculatedColumnFormula>INDEX(Debts2025303540455055606570[[Creditor]:[Monthly Payment]], MATCH(MIN(Debts2025303540455055606570[Balance]),Debts2025303540455055606570[Balance], 0), 3)</calculatedColumnFormula>
    </tableColumn>
    <tableColumn id="4" xr3:uid="{408F19EB-0262-4E41-A7ED-E814C4E7244D}" name="Monthly Payment" dataDxfId="76">
      <calculatedColumnFormula>INDEX(Debts2025303540455055606570[[Creditor]:[Monthly Payment]], MATCH(MIN(Debts2025303540455055606570[Balance]),Debts2025303540455055606570[Balance], 0), 4)</calculatedColumnFormula>
    </tableColumn>
    <tableColumn id="5" xr3:uid="{E5F9A8A2-F0DC-4F67-B251-6DA98D26DF63}" name="New Payment" dataDxfId="75">
      <calculatedColumnFormula>INDEX(Debts2025303540455055606570[[Creditor]:[Monthly Payment]], MATCH(MIN(Debts2025303540455055606570[Balance]),Debts2025303540455055606570[Balance], 0), 4) + $C$37</calculatedColumnFormula>
    </tableColumn>
  </tableColumns>
  <tableStyleInfo name="Squawkfox - Category"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Recreation" displayName="Recreation" ref="C64:Q69" totalsRowCount="1" headerRowDxfId="764" dataDxfId="763" totalsRowDxfId="762">
  <autoFilter ref="C64:Q68" xr:uid="{00000000-0009-0000-0100-000008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00000000-0010-0000-0700-000001000000}" name="RECREATION" totalsRowLabel="Total" dataDxfId="475" totalsRowDxfId="743"/>
    <tableColumn id="2" xr3:uid="{00000000-0010-0000-0700-000002000000}" name="January" totalsRowFunction="sum" dataDxfId="474" totalsRowDxfId="460"/>
    <tableColumn id="3" xr3:uid="{00000000-0010-0000-0700-000003000000}" name="February" totalsRowFunction="sum" dataDxfId="473" totalsRowDxfId="459"/>
    <tableColumn id="4" xr3:uid="{00000000-0010-0000-0700-000004000000}" name="March" totalsRowFunction="sum" dataDxfId="472" totalsRowDxfId="458"/>
    <tableColumn id="5" xr3:uid="{00000000-0010-0000-0700-000005000000}" name="April" totalsRowFunction="sum" dataDxfId="471" totalsRowDxfId="457"/>
    <tableColumn id="6" xr3:uid="{00000000-0010-0000-0700-000006000000}" name="May" totalsRowFunction="sum" dataDxfId="470" totalsRowDxfId="456"/>
    <tableColumn id="7" xr3:uid="{00000000-0010-0000-0700-000007000000}" name="June" totalsRowFunction="sum" dataDxfId="469" totalsRowDxfId="455"/>
    <tableColumn id="8" xr3:uid="{00000000-0010-0000-0700-000008000000}" name="July" totalsRowFunction="sum" dataDxfId="468" totalsRowDxfId="454"/>
    <tableColumn id="9" xr3:uid="{00000000-0010-0000-0700-000009000000}" name="August" totalsRowFunction="sum" dataDxfId="467" totalsRowDxfId="453"/>
    <tableColumn id="10" xr3:uid="{00000000-0010-0000-0700-00000A000000}" name="September" totalsRowFunction="sum" dataDxfId="466" totalsRowDxfId="452"/>
    <tableColumn id="11" xr3:uid="{00000000-0010-0000-0700-00000B000000}" name="October" totalsRowFunction="sum" dataDxfId="465" totalsRowDxfId="451"/>
    <tableColumn id="12" xr3:uid="{00000000-0010-0000-0700-00000C000000}" name="November" totalsRowFunction="sum" dataDxfId="464" totalsRowDxfId="450"/>
    <tableColumn id="13" xr3:uid="{00000000-0010-0000-0700-00000D000000}" name="December" totalsRowFunction="sum" dataDxfId="463" totalsRowDxfId="449"/>
    <tableColumn id="14" xr3:uid="{00000000-0010-0000-0700-00000E000000}" name="Year" totalsRowFunction="sum" dataDxfId="461" totalsRowDxfId="448">
      <calculatedColumnFormula>SUM(Recreation[[#This Row],[January]:[December]])</calculatedColumnFormula>
    </tableColumn>
    <tableColumn id="15" xr3:uid="{00000000-0010-0000-0700-00000F000000}" name="Sparkline" dataDxfId="462" totalsRowDxfId="742"/>
  </tableColumns>
  <tableStyleInfo showFirstColumn="1" showLastColumn="0" showRowStripes="0" showColumnStripes="1"/>
  <extLst>
    <ext xmlns:x14="http://schemas.microsoft.com/office/spreadsheetml/2009/9/main" uri="{504A1905-F514-4f6f-8877-14C23A59335A}">
      <x14:table altTextSummary="Enter Recreation expense items and monthly amounts in this table. Annual amount and monthly Totals are auto calculated and sparklines are updated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DuesAndSubscription" displayName="DuesAndSubscription" ref="C71:Q79" totalsRowCount="1" headerRowDxfId="761" dataDxfId="760" totalsRowDxfId="759">
  <autoFilter ref="C71:Q78" xr:uid="{00000000-0009-0000-0100-000009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00000000-0010-0000-0800-000001000000}" name="DUES/SUBSCRIPTION" totalsRowLabel="Total" dataDxfId="447" totalsRowDxfId="745"/>
    <tableColumn id="2" xr3:uid="{00000000-0010-0000-0800-000002000000}" name="January" totalsRowFunction="sum" dataDxfId="446" totalsRowDxfId="620"/>
    <tableColumn id="3" xr3:uid="{00000000-0010-0000-0800-000003000000}" name="February" totalsRowFunction="sum" dataDxfId="445" totalsRowDxfId="619"/>
    <tableColumn id="4" xr3:uid="{00000000-0010-0000-0800-000004000000}" name="March" totalsRowFunction="sum" dataDxfId="444" totalsRowDxfId="618"/>
    <tableColumn id="5" xr3:uid="{00000000-0010-0000-0800-000005000000}" name="April" totalsRowFunction="sum" dataDxfId="443" totalsRowDxfId="617"/>
    <tableColumn id="6" xr3:uid="{00000000-0010-0000-0800-000006000000}" name="May" totalsRowFunction="sum" dataDxfId="442" totalsRowDxfId="616"/>
    <tableColumn id="7" xr3:uid="{00000000-0010-0000-0800-000007000000}" name="June" totalsRowFunction="sum" dataDxfId="441" totalsRowDxfId="615"/>
    <tableColumn id="8" xr3:uid="{00000000-0010-0000-0800-000008000000}" name="July" totalsRowFunction="sum" dataDxfId="440" totalsRowDxfId="614"/>
    <tableColumn id="9" xr3:uid="{00000000-0010-0000-0800-000009000000}" name="August" totalsRowFunction="sum" dataDxfId="439" totalsRowDxfId="613"/>
    <tableColumn id="10" xr3:uid="{00000000-0010-0000-0800-00000A000000}" name="September" totalsRowFunction="sum" dataDxfId="438" totalsRowDxfId="612"/>
    <tableColumn id="11" xr3:uid="{00000000-0010-0000-0800-00000B000000}" name="October" totalsRowFunction="sum" dataDxfId="437" totalsRowDxfId="611"/>
    <tableColumn id="12" xr3:uid="{00000000-0010-0000-0800-00000C000000}" name="November" totalsRowFunction="sum" dataDxfId="436" totalsRowDxfId="610"/>
    <tableColumn id="13" xr3:uid="{00000000-0010-0000-0800-00000D000000}" name="December" totalsRowFunction="sum" dataDxfId="435" totalsRowDxfId="609"/>
    <tableColumn id="14" xr3:uid="{00000000-0010-0000-0800-00000E000000}" name="Year" totalsRowFunction="sum" dataDxfId="433" totalsRowDxfId="608">
      <calculatedColumnFormula>SUM(DuesAndSubscription[[#This Row],[January]:[December]])</calculatedColumnFormula>
    </tableColumn>
    <tableColumn id="15" xr3:uid="{00000000-0010-0000-0800-00000F000000}" name="Sparkline" dataDxfId="434" totalsRowDxfId="744"/>
  </tableColumns>
  <tableStyleInfo showFirstColumn="1" showLastColumn="0" showRowStripes="0" showColumnStripes="1"/>
  <extLst>
    <ext xmlns:x14="http://schemas.microsoft.com/office/spreadsheetml/2009/9/main" uri="{504A1905-F514-4f6f-8877-14C23A59335A}">
      <x14:table altTextSummary="Enter Dues and Subscription items and monthly amounts in this table. Annual amount and monthly Totals are auto calculated and sparklines are updated"/>
    </ext>
  </extLst>
</table>
</file>

<file path=xl/theme/theme1.xml><?xml version="1.0" encoding="utf-8"?>
<a:theme xmlns:a="http://schemas.openxmlformats.org/drawingml/2006/main" name="Office Theme">
  <a:themeElements>
    <a:clrScheme name="MCG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85ACE1"/>
      </a:accent1>
      <a:accent2>
        <a:srgbClr val="8D6DC4"/>
      </a:accent2>
      <a:accent3>
        <a:srgbClr val="49AFCD"/>
      </a:accent3>
      <a:accent4>
        <a:srgbClr val="00BCD4"/>
      </a:accent4>
      <a:accent5>
        <a:srgbClr val="67E6CD"/>
      </a:accent5>
      <a:accent6>
        <a:srgbClr val="7DBD21"/>
      </a:accent6>
      <a:hlink>
        <a:srgbClr val="FF0000"/>
      </a:hlink>
      <a:folHlink>
        <a:srgbClr val="59A8D1"/>
      </a:folHlink>
    </a:clrScheme>
    <a:fontScheme name="Custom 13">
      <a:majorFont>
        <a:latin typeface="Gill Sans MT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57000"/>
                <a:satMod val="101000"/>
              </a:schemeClr>
            </a:gs>
            <a:gs pos="50000">
              <a:schemeClr val="phClr">
                <a:lumMod val="137000"/>
                <a:satMod val="103000"/>
              </a:schemeClr>
            </a:gs>
            <a:gs pos="100000">
              <a:schemeClr val="phClr">
                <a:lumMod val="115000"/>
                <a:satMod val="109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18000"/>
              </a:schemeClr>
            </a:gs>
            <a:gs pos="50000">
              <a:schemeClr val="phClr">
                <a:satMod val="89000"/>
                <a:lumMod val="91000"/>
              </a:schemeClr>
            </a:gs>
            <a:gs pos="100000">
              <a:schemeClr val="phClr">
                <a:lumMod val="6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atMod val="100000"/>
                <a:shade val="0"/>
              </a:schemeClr>
            </a:gs>
            <a:gs pos="0">
              <a:scrgbClr r="0" g="0" b="0"/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0.xml"/><Relationship Id="rId2" Type="http://schemas.openxmlformats.org/officeDocument/2006/relationships/table" Target="../tables/table49.xml"/><Relationship Id="rId1" Type="http://schemas.openxmlformats.org/officeDocument/2006/relationships/drawing" Target="../drawings/drawing9.xml"/><Relationship Id="rId6" Type="http://schemas.openxmlformats.org/officeDocument/2006/relationships/table" Target="../tables/table53.xml"/><Relationship Id="rId5" Type="http://schemas.openxmlformats.org/officeDocument/2006/relationships/table" Target="../tables/table52.xml"/><Relationship Id="rId4" Type="http://schemas.openxmlformats.org/officeDocument/2006/relationships/table" Target="../tables/table5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5.xml"/><Relationship Id="rId2" Type="http://schemas.openxmlformats.org/officeDocument/2006/relationships/table" Target="../tables/table54.xml"/><Relationship Id="rId1" Type="http://schemas.openxmlformats.org/officeDocument/2006/relationships/drawing" Target="../drawings/drawing10.xml"/><Relationship Id="rId6" Type="http://schemas.openxmlformats.org/officeDocument/2006/relationships/table" Target="../tables/table58.xml"/><Relationship Id="rId5" Type="http://schemas.openxmlformats.org/officeDocument/2006/relationships/table" Target="../tables/table57.xml"/><Relationship Id="rId4" Type="http://schemas.openxmlformats.org/officeDocument/2006/relationships/table" Target="../tables/table56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0.xml"/><Relationship Id="rId2" Type="http://schemas.openxmlformats.org/officeDocument/2006/relationships/table" Target="../tables/table59.xml"/><Relationship Id="rId1" Type="http://schemas.openxmlformats.org/officeDocument/2006/relationships/drawing" Target="../drawings/drawing11.xml"/><Relationship Id="rId6" Type="http://schemas.openxmlformats.org/officeDocument/2006/relationships/table" Target="../tables/table63.xml"/><Relationship Id="rId5" Type="http://schemas.openxmlformats.org/officeDocument/2006/relationships/table" Target="../tables/table62.xml"/><Relationship Id="rId4" Type="http://schemas.openxmlformats.org/officeDocument/2006/relationships/table" Target="../tables/table6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5.xml"/><Relationship Id="rId2" Type="http://schemas.openxmlformats.org/officeDocument/2006/relationships/table" Target="../tables/table64.xml"/><Relationship Id="rId1" Type="http://schemas.openxmlformats.org/officeDocument/2006/relationships/drawing" Target="../drawings/drawing12.xml"/><Relationship Id="rId6" Type="http://schemas.openxmlformats.org/officeDocument/2006/relationships/table" Target="../tables/table68.xml"/><Relationship Id="rId5" Type="http://schemas.openxmlformats.org/officeDocument/2006/relationships/table" Target="../tables/table67.xml"/><Relationship Id="rId4" Type="http://schemas.openxmlformats.org/officeDocument/2006/relationships/table" Target="../tables/table66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0.xml"/><Relationship Id="rId2" Type="http://schemas.openxmlformats.org/officeDocument/2006/relationships/table" Target="../tables/table69.xml"/><Relationship Id="rId1" Type="http://schemas.openxmlformats.org/officeDocument/2006/relationships/drawing" Target="../drawings/drawing13.xml"/><Relationship Id="rId6" Type="http://schemas.openxmlformats.org/officeDocument/2006/relationships/table" Target="../tables/table73.xml"/><Relationship Id="rId5" Type="http://schemas.openxmlformats.org/officeDocument/2006/relationships/table" Target="../tables/table72.xml"/><Relationship Id="rId4" Type="http://schemas.openxmlformats.org/officeDocument/2006/relationships/table" Target="../tables/table7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table" Target="../tables/table14.xml"/><Relationship Id="rId1" Type="http://schemas.openxmlformats.org/officeDocument/2006/relationships/drawing" Target="../drawings/drawing2.xml"/><Relationship Id="rId6" Type="http://schemas.openxmlformats.org/officeDocument/2006/relationships/table" Target="../tables/table18.xml"/><Relationship Id="rId5" Type="http://schemas.openxmlformats.org/officeDocument/2006/relationships/table" Target="../tables/table17.xml"/><Relationship Id="rId4" Type="http://schemas.openxmlformats.org/officeDocument/2006/relationships/table" Target="../tables/table1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table" Target="../tables/table19.xml"/><Relationship Id="rId1" Type="http://schemas.openxmlformats.org/officeDocument/2006/relationships/drawing" Target="../drawings/drawing3.xml"/><Relationship Id="rId6" Type="http://schemas.openxmlformats.org/officeDocument/2006/relationships/table" Target="../tables/table23.xml"/><Relationship Id="rId5" Type="http://schemas.openxmlformats.org/officeDocument/2006/relationships/table" Target="../tables/table22.xml"/><Relationship Id="rId4" Type="http://schemas.openxmlformats.org/officeDocument/2006/relationships/table" Target="../tables/table2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5.xml"/><Relationship Id="rId2" Type="http://schemas.openxmlformats.org/officeDocument/2006/relationships/table" Target="../tables/table24.xml"/><Relationship Id="rId1" Type="http://schemas.openxmlformats.org/officeDocument/2006/relationships/drawing" Target="../drawings/drawing4.xml"/><Relationship Id="rId6" Type="http://schemas.openxmlformats.org/officeDocument/2006/relationships/table" Target="../tables/table28.xml"/><Relationship Id="rId5" Type="http://schemas.openxmlformats.org/officeDocument/2006/relationships/table" Target="../tables/table27.xml"/><Relationship Id="rId4" Type="http://schemas.openxmlformats.org/officeDocument/2006/relationships/table" Target="../tables/table2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0.xml"/><Relationship Id="rId2" Type="http://schemas.openxmlformats.org/officeDocument/2006/relationships/table" Target="../tables/table29.xml"/><Relationship Id="rId1" Type="http://schemas.openxmlformats.org/officeDocument/2006/relationships/drawing" Target="../drawings/drawing5.xml"/><Relationship Id="rId6" Type="http://schemas.openxmlformats.org/officeDocument/2006/relationships/table" Target="../tables/table33.xml"/><Relationship Id="rId5" Type="http://schemas.openxmlformats.org/officeDocument/2006/relationships/table" Target="../tables/table32.xml"/><Relationship Id="rId4" Type="http://schemas.openxmlformats.org/officeDocument/2006/relationships/table" Target="../tables/table3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5.xml"/><Relationship Id="rId2" Type="http://schemas.openxmlformats.org/officeDocument/2006/relationships/table" Target="../tables/table34.xml"/><Relationship Id="rId1" Type="http://schemas.openxmlformats.org/officeDocument/2006/relationships/drawing" Target="../drawings/drawing6.xml"/><Relationship Id="rId6" Type="http://schemas.openxmlformats.org/officeDocument/2006/relationships/table" Target="../tables/table38.xml"/><Relationship Id="rId5" Type="http://schemas.openxmlformats.org/officeDocument/2006/relationships/table" Target="../tables/table37.xml"/><Relationship Id="rId4" Type="http://schemas.openxmlformats.org/officeDocument/2006/relationships/table" Target="../tables/table3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0.xml"/><Relationship Id="rId2" Type="http://schemas.openxmlformats.org/officeDocument/2006/relationships/table" Target="../tables/table39.xml"/><Relationship Id="rId1" Type="http://schemas.openxmlformats.org/officeDocument/2006/relationships/drawing" Target="../drawings/drawing7.xml"/><Relationship Id="rId6" Type="http://schemas.openxmlformats.org/officeDocument/2006/relationships/table" Target="../tables/table43.xml"/><Relationship Id="rId5" Type="http://schemas.openxmlformats.org/officeDocument/2006/relationships/table" Target="../tables/table42.xml"/><Relationship Id="rId4" Type="http://schemas.openxmlformats.org/officeDocument/2006/relationships/table" Target="../tables/table4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5.xml"/><Relationship Id="rId2" Type="http://schemas.openxmlformats.org/officeDocument/2006/relationships/table" Target="../tables/table44.xml"/><Relationship Id="rId1" Type="http://schemas.openxmlformats.org/officeDocument/2006/relationships/drawing" Target="../drawings/drawing8.xml"/><Relationship Id="rId6" Type="http://schemas.openxmlformats.org/officeDocument/2006/relationships/table" Target="../tables/table48.xml"/><Relationship Id="rId5" Type="http://schemas.openxmlformats.org/officeDocument/2006/relationships/table" Target="../tables/table47.xml"/><Relationship Id="rId4" Type="http://schemas.openxmlformats.org/officeDocument/2006/relationships/table" Target="../tables/table4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E0C2F-E990-4355-A214-98D742D3EACA}">
  <sheetPr>
    <tabColor theme="5" tint="-0.249977111117893"/>
  </sheetPr>
  <dimension ref="B1:B13"/>
  <sheetViews>
    <sheetView workbookViewId="0">
      <selection activeCell="B14" sqref="B14"/>
    </sheetView>
  </sheetViews>
  <sheetFormatPr defaultRowHeight="12.75" x14ac:dyDescent="0.2"/>
  <cols>
    <col min="1" max="1" width="2.625" customWidth="1"/>
    <col min="2" max="2" width="80.625" customWidth="1"/>
    <col min="3" max="3" width="2.625" customWidth="1"/>
  </cols>
  <sheetData>
    <row r="1" spans="2:2" ht="30" customHeight="1" x14ac:dyDescent="0.2">
      <c r="B1" s="80" t="s">
        <v>158</v>
      </c>
    </row>
    <row r="2" spans="2:2" ht="30" customHeight="1" x14ac:dyDescent="0.2">
      <c r="B2" s="45" t="s">
        <v>102</v>
      </c>
    </row>
    <row r="3" spans="2:2" ht="30" customHeight="1" x14ac:dyDescent="0.2">
      <c r="B3" s="45" t="s">
        <v>103</v>
      </c>
    </row>
    <row r="4" spans="2:2" ht="30" customHeight="1" x14ac:dyDescent="0.2">
      <c r="B4" s="45" t="s">
        <v>104</v>
      </c>
    </row>
    <row r="5" spans="2:2" ht="30" customHeight="1" x14ac:dyDescent="0.2">
      <c r="B5" s="46" t="s">
        <v>105</v>
      </c>
    </row>
    <row r="6" spans="2:2" ht="61.5" customHeight="1" x14ac:dyDescent="0.2">
      <c r="B6" s="45" t="s">
        <v>106</v>
      </c>
    </row>
    <row r="7" spans="2:2" ht="30" x14ac:dyDescent="0.2">
      <c r="B7" s="45" t="s">
        <v>107</v>
      </c>
    </row>
    <row r="10" spans="2:2" x14ac:dyDescent="0.2">
      <c r="B10" t="s">
        <v>155</v>
      </c>
    </row>
    <row r="11" spans="2:2" x14ac:dyDescent="0.2">
      <c r="B11" t="s">
        <v>156</v>
      </c>
    </row>
    <row r="12" spans="2:2" x14ac:dyDescent="0.2">
      <c r="B12" t="s">
        <v>169</v>
      </c>
    </row>
    <row r="13" spans="2:2" x14ac:dyDescent="0.2">
      <c r="B13" t="s">
        <v>175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87733-2325-4CB5-96AC-BBA9CE818FE1}">
  <dimension ref="B1:Q84"/>
  <sheetViews>
    <sheetView showGridLines="0" workbookViewId="0">
      <selection activeCell="F1" sqref="F1"/>
    </sheetView>
  </sheetViews>
  <sheetFormatPr defaultColWidth="10.625" defaultRowHeight="12.75" x14ac:dyDescent="0.2"/>
  <cols>
    <col min="1" max="1" width="6" style="56" customWidth="1"/>
    <col min="2" max="2" width="34.125" style="56" customWidth="1"/>
    <col min="3" max="3" width="15.875" style="58" customWidth="1"/>
    <col min="4" max="4" width="16.125" style="57" customWidth="1"/>
    <col min="5" max="5" width="21.875" style="58" customWidth="1"/>
    <col min="6" max="6" width="16.625" style="57" customWidth="1"/>
    <col min="7" max="7" width="10.25" style="56" customWidth="1"/>
    <col min="8" max="16384" width="10.625" style="56"/>
  </cols>
  <sheetData>
    <row r="1" spans="2:17" s="58" customFormat="1" ht="36" x14ac:dyDescent="0.5">
      <c r="B1" s="73" t="s">
        <v>160</v>
      </c>
      <c r="F1" s="121" t="s">
        <v>96</v>
      </c>
      <c r="H1" s="72"/>
    </row>
    <row r="3" spans="2:17" s="58" customFormat="1" ht="19.5" x14ac:dyDescent="0.25">
      <c r="B3" s="64" t="s">
        <v>154</v>
      </c>
    </row>
    <row r="4" spans="2:17" s="58" customFormat="1" x14ac:dyDescent="0.2">
      <c r="B4" s="58" t="s">
        <v>153</v>
      </c>
    </row>
    <row r="5" spans="2:17" s="58" customFormat="1" x14ac:dyDescent="0.2">
      <c r="B5" s="58" t="s">
        <v>152</v>
      </c>
    </row>
    <row r="6" spans="2:17" x14ac:dyDescent="0.2">
      <c r="H6" s="83" t="s">
        <v>159</v>
      </c>
      <c r="I6" s="83"/>
      <c r="J6" s="83"/>
      <c r="K6" s="83"/>
      <c r="L6" s="83"/>
      <c r="M6" s="83"/>
      <c r="N6" s="83"/>
      <c r="O6" s="83"/>
      <c r="P6" s="83"/>
      <c r="Q6" s="83"/>
    </row>
    <row r="7" spans="2:17" ht="12.75" customHeight="1" x14ac:dyDescent="0.2">
      <c r="B7" s="63" t="s">
        <v>130</v>
      </c>
      <c r="C7" s="71" t="s">
        <v>129</v>
      </c>
      <c r="D7" s="70" t="s">
        <v>128</v>
      </c>
      <c r="E7" s="71" t="s">
        <v>127</v>
      </c>
      <c r="F7" s="70" t="s">
        <v>151</v>
      </c>
      <c r="H7" s="120" t="s">
        <v>171</v>
      </c>
      <c r="I7" s="119"/>
      <c r="J7" s="83"/>
      <c r="K7" s="83"/>
      <c r="L7" s="83"/>
      <c r="M7" s="83"/>
      <c r="N7" s="83"/>
      <c r="O7" s="83"/>
      <c r="P7" s="83"/>
      <c r="Q7" s="83"/>
    </row>
    <row r="8" spans="2:17" x14ac:dyDescent="0.2">
      <c r="B8" s="56" t="s">
        <v>164</v>
      </c>
      <c r="C8" s="58">
        <v>0</v>
      </c>
      <c r="D8" s="57">
        <v>0</v>
      </c>
      <c r="E8" s="58">
        <v>0</v>
      </c>
      <c r="F8" s="57" t="str">
        <f>IF(C8&gt;0, C8/SUM($C$8:$C$28), "")</f>
        <v/>
      </c>
      <c r="G8" s="115"/>
      <c r="H8" s="115"/>
    </row>
    <row r="9" spans="2:17" x14ac:dyDescent="0.2">
      <c r="B9" s="74" t="s">
        <v>165</v>
      </c>
      <c r="C9" s="75">
        <v>0</v>
      </c>
      <c r="D9" s="76">
        <v>0</v>
      </c>
      <c r="E9" s="75">
        <v>0</v>
      </c>
      <c r="F9" s="76" t="str">
        <f>IF(C9&gt;0, C9/SUM($C$8:$C$28), "")</f>
        <v/>
      </c>
      <c r="G9" s="115"/>
      <c r="H9" s="115"/>
    </row>
    <row r="10" spans="2:17" x14ac:dyDescent="0.2">
      <c r="B10" s="74" t="s">
        <v>166</v>
      </c>
      <c r="C10" s="75">
        <v>0</v>
      </c>
      <c r="D10" s="76">
        <v>0</v>
      </c>
      <c r="E10" s="75">
        <v>0</v>
      </c>
      <c r="F10" s="76" t="str">
        <f>IF(C10&gt;0, C10/SUM($C$8:$C$28), "")</f>
        <v/>
      </c>
      <c r="G10" s="115"/>
      <c r="H10" s="115"/>
    </row>
    <row r="11" spans="2:17" x14ac:dyDescent="0.2">
      <c r="B11" s="56" t="s">
        <v>150</v>
      </c>
      <c r="C11" s="58">
        <v>0</v>
      </c>
      <c r="D11" s="57">
        <v>0</v>
      </c>
      <c r="E11" s="58">
        <v>0</v>
      </c>
      <c r="F11" s="57" t="str">
        <f>IF(C11&gt;0, C11/SUM($C$8:$C$28), "")</f>
        <v/>
      </c>
      <c r="G11" s="115"/>
      <c r="H11" s="115"/>
    </row>
    <row r="12" spans="2:17" x14ac:dyDescent="0.2">
      <c r="B12" s="56" t="s">
        <v>150</v>
      </c>
      <c r="C12" s="58">
        <v>0</v>
      </c>
      <c r="D12" s="57">
        <v>0</v>
      </c>
      <c r="E12" s="58">
        <v>0</v>
      </c>
      <c r="F12" s="57" t="str">
        <f>IF(C12&gt;0, C12/SUM($C$8:$C$28), "")</f>
        <v/>
      </c>
      <c r="G12" s="115"/>
      <c r="H12" s="115"/>
    </row>
    <row r="13" spans="2:17" x14ac:dyDescent="0.2">
      <c r="B13" s="56" t="s">
        <v>149</v>
      </c>
      <c r="C13" s="58">
        <v>0</v>
      </c>
      <c r="D13" s="57">
        <v>0</v>
      </c>
      <c r="E13" s="58">
        <v>0</v>
      </c>
      <c r="F13" s="57" t="str">
        <f>IF(C13&gt;0, C13/SUM($C$8:$C$28), "")</f>
        <v/>
      </c>
      <c r="G13" s="115"/>
      <c r="H13" s="115"/>
    </row>
    <row r="14" spans="2:17" x14ac:dyDescent="0.2">
      <c r="B14" s="56" t="s">
        <v>148</v>
      </c>
      <c r="C14" s="58">
        <v>0</v>
      </c>
      <c r="D14" s="57">
        <v>0</v>
      </c>
      <c r="E14" s="58">
        <v>0</v>
      </c>
      <c r="F14" s="57" t="str">
        <f>IF(C14&gt;0, C14/SUM($C$8:$C$28), "")</f>
        <v/>
      </c>
      <c r="G14" s="115"/>
      <c r="H14" s="115"/>
    </row>
    <row r="15" spans="2:17" x14ac:dyDescent="0.2">
      <c r="B15" s="56" t="s">
        <v>147</v>
      </c>
      <c r="C15" s="58">
        <v>0</v>
      </c>
      <c r="D15" s="57">
        <v>0</v>
      </c>
      <c r="E15" s="58">
        <v>0</v>
      </c>
      <c r="F15" s="57" t="str">
        <f>IF(C15&gt;0, C15/SUM($C$8:$C$28), "")</f>
        <v/>
      </c>
      <c r="G15" s="115"/>
      <c r="H15" s="115"/>
    </row>
    <row r="16" spans="2:17" x14ac:dyDescent="0.2">
      <c r="B16" s="77" t="s">
        <v>55</v>
      </c>
      <c r="C16" s="78">
        <f>SUBTOTAL(109,Debts20253035404550[Balance])</f>
        <v>0</v>
      </c>
      <c r="D16" s="79" t="e">
        <f>SUMPRODUCT(Debts20253035404550[Balance],Debts20253035404550[Interest Rate])/SUM(Debts20253035404550[Balance])</f>
        <v>#DIV/0!</v>
      </c>
      <c r="E16" s="78">
        <f>SUBTOTAL(109,Debts20253035404550[Monthly Payment])</f>
        <v>0</v>
      </c>
      <c r="F16" s="79">
        <f>SUBTOTAL(109,Debts20253035404550[% of Total])</f>
        <v>0</v>
      </c>
    </row>
    <row r="17" spans="2:6" ht="24" customHeight="1" x14ac:dyDescent="0.2"/>
    <row r="18" spans="2:6" s="58" customFormat="1" ht="19.5" x14ac:dyDescent="0.25">
      <c r="B18" s="64" t="s">
        <v>146</v>
      </c>
    </row>
    <row r="19" spans="2:6" s="58" customFormat="1" x14ac:dyDescent="0.2">
      <c r="B19" s="58" t="s">
        <v>167</v>
      </c>
    </row>
    <row r="20" spans="2:6" s="58" customFormat="1" x14ac:dyDescent="0.2">
      <c r="B20" s="58" t="s">
        <v>168</v>
      </c>
    </row>
    <row r="22" spans="2:6" x14ac:dyDescent="0.2">
      <c r="B22" s="69" t="s">
        <v>141</v>
      </c>
      <c r="C22" s="114" t="s">
        <v>140</v>
      </c>
    </row>
    <row r="23" spans="2:6" x14ac:dyDescent="0.2">
      <c r="B23" s="56" t="s">
        <v>145</v>
      </c>
      <c r="C23" s="113">
        <f>'PERSONAL BUDGET'!K109</f>
        <v>0</v>
      </c>
      <c r="E23" s="84"/>
    </row>
    <row r="24" spans="2:6" ht="24" customHeight="1" x14ac:dyDescent="0.2">
      <c r="F24" s="57" t="str">
        <f>IF(C28&gt;0, C28/SUM($C$8:$C$28), "")</f>
        <v/>
      </c>
    </row>
    <row r="25" spans="2:6" s="58" customFormat="1" ht="19.5" x14ac:dyDescent="0.25">
      <c r="B25" s="64" t="s">
        <v>144</v>
      </c>
    </row>
    <row r="26" spans="2:6" s="58" customFormat="1" x14ac:dyDescent="0.2">
      <c r="B26" s="58" t="s">
        <v>143</v>
      </c>
    </row>
    <row r="27" spans="2:6" s="58" customFormat="1" x14ac:dyDescent="0.2">
      <c r="B27" s="58" t="s">
        <v>142</v>
      </c>
    </row>
    <row r="29" spans="2:6" s="63" customFormat="1" x14ac:dyDescent="0.2">
      <c r="B29" s="68" t="s">
        <v>141</v>
      </c>
      <c r="C29" s="59" t="s">
        <v>140</v>
      </c>
      <c r="D29" s="67"/>
      <c r="E29" s="66"/>
      <c r="F29" s="67"/>
    </row>
    <row r="30" spans="2:6" s="63" customFormat="1" x14ac:dyDescent="0.2">
      <c r="B30" s="63" t="s">
        <v>139</v>
      </c>
      <c r="C30" s="84">
        <f>Debts20253035404550[[#Totals],[Balance]]</f>
        <v>0</v>
      </c>
      <c r="D30" s="67"/>
      <c r="E30" s="66"/>
      <c r="F30" s="67"/>
    </row>
    <row r="31" spans="2:6" s="63" customFormat="1" x14ac:dyDescent="0.2">
      <c r="B31" s="63" t="s">
        <v>138</v>
      </c>
      <c r="C31" s="67" t="e">
        <f>Debts20253035404550[[#Totals],[Interest Rate]]</f>
        <v>#DIV/0!</v>
      </c>
      <c r="D31" s="67"/>
      <c r="E31" s="66"/>
      <c r="F31" s="67"/>
    </row>
    <row r="32" spans="2:6" x14ac:dyDescent="0.2">
      <c r="B32" s="63" t="s">
        <v>137</v>
      </c>
      <c r="C32" s="66" t="e">
        <f>C30*C31/12</f>
        <v>#DIV/0!</v>
      </c>
      <c r="D32" s="67"/>
      <c r="E32" s="66"/>
      <c r="F32" s="67"/>
    </row>
    <row r="33" spans="2:3" x14ac:dyDescent="0.2">
      <c r="B33" s="63"/>
      <c r="C33" s="66"/>
    </row>
    <row r="34" spans="2:3" x14ac:dyDescent="0.2">
      <c r="B34" s="63" t="s">
        <v>136</v>
      </c>
      <c r="C34" s="66">
        <f>Debts20253035404550[[#Totals],[Monthly Payment]]</f>
        <v>0</v>
      </c>
    </row>
    <row r="35" spans="2:3" x14ac:dyDescent="0.2">
      <c r="B35" s="63" t="s">
        <v>135</v>
      </c>
      <c r="C35" s="66">
        <f>Budget22273237424752[Amount]</f>
        <v>0</v>
      </c>
    </row>
    <row r="36" spans="2:3" x14ac:dyDescent="0.2">
      <c r="B36" s="63"/>
      <c r="C36" s="66"/>
    </row>
    <row r="37" spans="2:3" ht="12.95" customHeight="1" x14ac:dyDescent="0.2">
      <c r="B37" s="63" t="s">
        <v>134</v>
      </c>
      <c r="C37" s="66">
        <f>C35-C34</f>
        <v>0</v>
      </c>
    </row>
    <row r="40" spans="2:3" ht="12.95" customHeight="1" x14ac:dyDescent="0.35">
      <c r="C40" s="65"/>
    </row>
    <row r="67" spans="2:6" s="58" customFormat="1" ht="19.5" x14ac:dyDescent="0.25">
      <c r="B67" s="64" t="s">
        <v>133</v>
      </c>
    </row>
    <row r="68" spans="2:6" s="58" customFormat="1" x14ac:dyDescent="0.2">
      <c r="B68" s="58" t="s">
        <v>161</v>
      </c>
    </row>
    <row r="69" spans="2:6" x14ac:dyDescent="0.2">
      <c r="C69" s="56"/>
      <c r="D69" s="56"/>
    </row>
    <row r="70" spans="2:6" x14ac:dyDescent="0.2">
      <c r="B70" s="63" t="s">
        <v>132</v>
      </c>
      <c r="C70" s="56"/>
      <c r="D70" s="56"/>
    </row>
    <row r="71" spans="2:6" ht="5.0999999999999996" customHeight="1" x14ac:dyDescent="0.2">
      <c r="C71" s="56"/>
      <c r="D71" s="56"/>
    </row>
    <row r="72" spans="2:6" x14ac:dyDescent="0.2">
      <c r="B72" s="61" t="s">
        <v>130</v>
      </c>
      <c r="C72" s="59" t="s">
        <v>129</v>
      </c>
      <c r="D72" s="60" t="s">
        <v>128</v>
      </c>
      <c r="E72" s="59" t="s">
        <v>127</v>
      </c>
      <c r="F72" s="59" t="s">
        <v>126</v>
      </c>
    </row>
    <row r="73" spans="2:6" x14ac:dyDescent="0.2">
      <c r="B73" s="61" t="str">
        <f>INDEX(Debts20253035404550[[Creditor]:[Monthly Payment]], MATCH(MAX(Debts20253035404550[Interest Rate]),Debts20253035404550[Interest Rate], 0), 1)</f>
        <v>Paypal Credit Card</v>
      </c>
      <c r="C73" s="59">
        <f>INDEX(Debts20253035404550[[Creditor]:[Monthly Payment]], MATCH(MAX(Debts20253035404550[Interest Rate]),Debts20253035404550[Interest Rate], 0), 2)</f>
        <v>0</v>
      </c>
      <c r="D73" s="60">
        <f>INDEX(Debts20253035404550[[Creditor]:[Monthly Payment]], MATCH(MAX(Debts20253035404550[Interest Rate]),Debts20253035404550[Interest Rate], 0), 3)</f>
        <v>0</v>
      </c>
      <c r="E73" s="59">
        <f>INDEX(Debts20253035404550[[Creditor]:[Monthly Payment]], MATCH(MAX(Debts20253035404550[Interest Rate]),Debts20253035404550[Interest Rate], 0), 4)</f>
        <v>0</v>
      </c>
      <c r="F73" s="59">
        <f>INDEX(Debts20253035404550[[Creditor]:[Monthly Payment]], MATCH(MAX(Debts20253035404550[Interest Rate]),Debts20253035404550[Interest Rate], 0), 4) + $C$37</f>
        <v>0</v>
      </c>
    </row>
    <row r="74" spans="2:6" x14ac:dyDescent="0.2">
      <c r="B74" s="61"/>
      <c r="C74" s="59"/>
      <c r="D74" s="60"/>
      <c r="E74" s="59"/>
      <c r="F74" s="59"/>
    </row>
    <row r="75" spans="2:6" x14ac:dyDescent="0.2">
      <c r="B75" s="63" t="s">
        <v>131</v>
      </c>
      <c r="C75" s="62"/>
      <c r="D75" s="62"/>
      <c r="E75" s="59"/>
      <c r="F75" s="60"/>
    </row>
    <row r="76" spans="2:6" ht="5.0999999999999996" customHeight="1" x14ac:dyDescent="0.2">
      <c r="C76" s="62"/>
      <c r="D76" s="62"/>
      <c r="E76" s="59"/>
      <c r="F76" s="60"/>
    </row>
    <row r="77" spans="2:6" x14ac:dyDescent="0.2">
      <c r="B77" s="61" t="s">
        <v>130</v>
      </c>
      <c r="C77" s="59" t="s">
        <v>129</v>
      </c>
      <c r="D77" s="60" t="s">
        <v>128</v>
      </c>
      <c r="E77" s="59" t="s">
        <v>127</v>
      </c>
      <c r="F77" s="59" t="s">
        <v>126</v>
      </c>
    </row>
    <row r="78" spans="2:6" x14ac:dyDescent="0.2">
      <c r="B78" s="61" t="str">
        <f>INDEX(Debts20253035404550[[Creditor]:[Monthly Payment]], MATCH(MIN(Debts20253035404550[Balance]),Debts20253035404550[Balance], 0), 1)</f>
        <v>Paypal Credit Card</v>
      </c>
      <c r="C78" s="59">
        <f>INDEX(Debts20253035404550[[Creditor]:[Monthly Payment]], MATCH(MIN(Debts20253035404550[Balance]),Debts20253035404550[Balance], 0), 2)</f>
        <v>0</v>
      </c>
      <c r="D78" s="60">
        <f>INDEX(Debts20253035404550[[Creditor]:[Monthly Payment]], MATCH(MIN(Debts20253035404550[Balance]),Debts20253035404550[Balance], 0), 3)</f>
        <v>0</v>
      </c>
      <c r="E78" s="59">
        <f>INDEX(Debts20253035404550[[Creditor]:[Monthly Payment]], MATCH(MIN(Debts20253035404550[Balance]),Debts20253035404550[Balance], 0), 4)</f>
        <v>0</v>
      </c>
      <c r="F78" s="59">
        <f>INDEX(Debts20253035404550[[Creditor]:[Monthly Payment]], MATCH(MIN(Debts20253035404550[Balance]),Debts20253035404550[Balance], 0), 4) + $C$37</f>
        <v>0</v>
      </c>
    </row>
    <row r="82" spans="2:3" x14ac:dyDescent="0.2">
      <c r="B82" s="63" t="s">
        <v>163</v>
      </c>
      <c r="C82" s="66"/>
    </row>
    <row r="83" spans="2:3" x14ac:dyDescent="0.2">
      <c r="B83" s="63"/>
      <c r="C83" s="66"/>
    </row>
    <row r="84" spans="2:3" x14ac:dyDescent="0.2">
      <c r="B84" s="63" t="s">
        <v>162</v>
      </c>
      <c r="C84" s="66"/>
    </row>
  </sheetData>
  <conditionalFormatting sqref="C37">
    <cfRule type="cellIs" dxfId="199" priority="1" operator="lessThan">
      <formula>0</formula>
    </cfRule>
  </conditionalFormatting>
  <pageMargins left="0.7" right="0.7" top="0.75" bottom="0.75" header="0.5" footer="0.5"/>
  <pageSetup orientation="landscape" horizontalDpi="4294967292" verticalDpi="4294967292"/>
  <drawing r:id="rId1"/>
  <tableParts count="5">
    <tablePart r:id="rId2"/>
    <tablePart r:id="rId3"/>
    <tablePart r:id="rId4"/>
    <tablePart r:id="rId5"/>
    <tablePart r:id="rId6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C1735-EF5E-4C53-95D6-4CD9AFFE5178}">
  <dimension ref="B1:Q84"/>
  <sheetViews>
    <sheetView showGridLines="0" workbookViewId="0">
      <selection activeCell="F1" sqref="F1"/>
    </sheetView>
  </sheetViews>
  <sheetFormatPr defaultColWidth="10.625" defaultRowHeight="12.75" x14ac:dyDescent="0.2"/>
  <cols>
    <col min="1" max="1" width="6" style="56" customWidth="1"/>
    <col min="2" max="2" width="34.125" style="56" customWidth="1"/>
    <col min="3" max="3" width="15.875" style="58" customWidth="1"/>
    <col min="4" max="4" width="16.125" style="57" customWidth="1"/>
    <col min="5" max="5" width="21.875" style="58" customWidth="1"/>
    <col min="6" max="6" width="16.625" style="57" customWidth="1"/>
    <col min="7" max="7" width="10.25" style="56" customWidth="1"/>
    <col min="8" max="16384" width="10.625" style="56"/>
  </cols>
  <sheetData>
    <row r="1" spans="2:17" s="58" customFormat="1" ht="36" x14ac:dyDescent="0.5">
      <c r="B1" s="73" t="s">
        <v>160</v>
      </c>
      <c r="F1" s="121" t="s">
        <v>97</v>
      </c>
      <c r="H1" s="72"/>
    </row>
    <row r="3" spans="2:17" s="58" customFormat="1" ht="19.5" x14ac:dyDescent="0.25">
      <c r="B3" s="64" t="s">
        <v>154</v>
      </c>
    </row>
    <row r="4" spans="2:17" s="58" customFormat="1" x14ac:dyDescent="0.2">
      <c r="B4" s="58" t="s">
        <v>153</v>
      </c>
    </row>
    <row r="5" spans="2:17" s="58" customFormat="1" x14ac:dyDescent="0.2">
      <c r="B5" s="58" t="s">
        <v>152</v>
      </c>
    </row>
    <row r="6" spans="2:17" x14ac:dyDescent="0.2">
      <c r="H6" s="83" t="s">
        <v>159</v>
      </c>
      <c r="I6" s="83"/>
      <c r="J6" s="83"/>
      <c r="K6" s="83"/>
      <c r="L6" s="83"/>
      <c r="M6" s="83"/>
      <c r="N6" s="83"/>
      <c r="O6" s="83"/>
      <c r="P6" s="83"/>
      <c r="Q6" s="83"/>
    </row>
    <row r="7" spans="2:17" ht="12.75" customHeight="1" x14ac:dyDescent="0.2">
      <c r="B7" s="63" t="s">
        <v>130</v>
      </c>
      <c r="C7" s="71" t="s">
        <v>129</v>
      </c>
      <c r="D7" s="70" t="s">
        <v>128</v>
      </c>
      <c r="E7" s="71" t="s">
        <v>127</v>
      </c>
      <c r="F7" s="70" t="s">
        <v>151</v>
      </c>
      <c r="H7" s="120" t="s">
        <v>171</v>
      </c>
      <c r="I7" s="119"/>
      <c r="J7" s="83"/>
      <c r="K7" s="83"/>
      <c r="L7" s="83"/>
      <c r="M7" s="83"/>
      <c r="N7" s="83"/>
      <c r="O7" s="83"/>
      <c r="P7" s="83"/>
      <c r="Q7" s="83"/>
    </row>
    <row r="8" spans="2:17" x14ac:dyDescent="0.2">
      <c r="B8" s="56" t="s">
        <v>164</v>
      </c>
      <c r="C8" s="58">
        <v>0</v>
      </c>
      <c r="D8" s="57">
        <v>0.18490000000000001</v>
      </c>
      <c r="E8" s="58">
        <v>0</v>
      </c>
      <c r="F8" s="57" t="str">
        <f>IF(C8&gt;0, C8/SUM($C$8:$C$28), "")</f>
        <v/>
      </c>
      <c r="G8" s="115"/>
      <c r="H8" s="115"/>
    </row>
    <row r="9" spans="2:17" x14ac:dyDescent="0.2">
      <c r="B9" s="74" t="s">
        <v>165</v>
      </c>
      <c r="C9" s="75">
        <v>0</v>
      </c>
      <c r="D9" s="76">
        <v>0.01</v>
      </c>
      <c r="E9" s="75">
        <v>0</v>
      </c>
      <c r="F9" s="76" t="str">
        <f>IF(C9&gt;0, C9/SUM($C$8:$C$28), "")</f>
        <v/>
      </c>
      <c r="G9" s="115"/>
      <c r="H9" s="115"/>
    </row>
    <row r="10" spans="2:17" x14ac:dyDescent="0.2">
      <c r="B10" s="74" t="s">
        <v>166</v>
      </c>
      <c r="C10" s="75">
        <v>0</v>
      </c>
      <c r="D10" s="76">
        <v>0.01</v>
      </c>
      <c r="E10" s="75">
        <v>0</v>
      </c>
      <c r="F10" s="76" t="str">
        <f>IF(C10&gt;0, C10/SUM($C$8:$C$28), "")</f>
        <v/>
      </c>
      <c r="G10" s="115"/>
      <c r="H10" s="115"/>
    </row>
    <row r="11" spans="2:17" x14ac:dyDescent="0.2">
      <c r="B11" s="56" t="s">
        <v>150</v>
      </c>
      <c r="C11" s="58">
        <v>0</v>
      </c>
      <c r="D11" s="57">
        <v>0.01</v>
      </c>
      <c r="E11" s="58">
        <v>0</v>
      </c>
      <c r="F11" s="57" t="str">
        <f>IF(C11&gt;0, C11/SUM($C$8:$C$28), "")</f>
        <v/>
      </c>
      <c r="G11" s="115"/>
      <c r="H11" s="115"/>
    </row>
    <row r="12" spans="2:17" x14ac:dyDescent="0.2">
      <c r="B12" s="56" t="s">
        <v>150</v>
      </c>
      <c r="C12" s="58">
        <v>0</v>
      </c>
      <c r="D12" s="57">
        <v>0.01</v>
      </c>
      <c r="E12" s="58">
        <v>0</v>
      </c>
      <c r="F12" s="57" t="str">
        <f>IF(C12&gt;0, C12/SUM($C$8:$C$28), "")</f>
        <v/>
      </c>
      <c r="G12" s="115"/>
      <c r="H12" s="115"/>
    </row>
    <row r="13" spans="2:17" x14ac:dyDescent="0.2">
      <c r="B13" s="56" t="s">
        <v>149</v>
      </c>
      <c r="C13" s="58">
        <v>0</v>
      </c>
      <c r="D13" s="57">
        <v>0.01</v>
      </c>
      <c r="E13" s="58">
        <v>0</v>
      </c>
      <c r="F13" s="57" t="str">
        <f>IF(C13&gt;0, C13/SUM($C$8:$C$28), "")</f>
        <v/>
      </c>
      <c r="G13" s="115"/>
      <c r="H13" s="115"/>
    </row>
    <row r="14" spans="2:17" x14ac:dyDescent="0.2">
      <c r="B14" s="56" t="s">
        <v>148</v>
      </c>
      <c r="C14" s="58">
        <v>0</v>
      </c>
      <c r="D14" s="57">
        <v>0.01</v>
      </c>
      <c r="E14" s="58">
        <v>0</v>
      </c>
      <c r="F14" s="57" t="str">
        <f>IF(C14&gt;0, C14/SUM($C$8:$C$28), "")</f>
        <v/>
      </c>
      <c r="G14" s="115"/>
      <c r="H14" s="115"/>
    </row>
    <row r="15" spans="2:17" x14ac:dyDescent="0.2">
      <c r="B15" s="56" t="s">
        <v>147</v>
      </c>
      <c r="C15" s="58">
        <v>0</v>
      </c>
      <c r="D15" s="57">
        <v>0.01</v>
      </c>
      <c r="E15" s="58">
        <v>0</v>
      </c>
      <c r="F15" s="57" t="str">
        <f>IF(C15&gt;0, C15/SUM($C$8:$C$28), "")</f>
        <v/>
      </c>
      <c r="G15" s="115"/>
      <c r="H15" s="115"/>
    </row>
    <row r="16" spans="2:17" x14ac:dyDescent="0.2">
      <c r="B16" s="77" t="s">
        <v>55</v>
      </c>
      <c r="C16" s="78">
        <f>SUBTOTAL(109,Debts2025303540455055[Balance])</f>
        <v>0</v>
      </c>
      <c r="D16" s="79" t="e">
        <f>SUMPRODUCT(Debts2025303540455055[Balance],Debts2025303540455055[Interest Rate])/SUM(Debts2025303540455055[Balance])</f>
        <v>#DIV/0!</v>
      </c>
      <c r="E16" s="78">
        <f>SUBTOTAL(109,Debts2025303540455055[Monthly Payment])</f>
        <v>0</v>
      </c>
      <c r="F16" s="79">
        <f>SUBTOTAL(109,Debts2025303540455055[% of Total])</f>
        <v>0</v>
      </c>
    </row>
    <row r="17" spans="2:6" ht="24" customHeight="1" x14ac:dyDescent="0.2"/>
    <row r="18" spans="2:6" s="58" customFormat="1" ht="19.5" x14ac:dyDescent="0.25">
      <c r="B18" s="64" t="s">
        <v>146</v>
      </c>
    </row>
    <row r="19" spans="2:6" s="58" customFormat="1" x14ac:dyDescent="0.2">
      <c r="B19" s="58" t="s">
        <v>167</v>
      </c>
    </row>
    <row r="20" spans="2:6" s="58" customFormat="1" x14ac:dyDescent="0.2">
      <c r="B20" s="58" t="s">
        <v>168</v>
      </c>
    </row>
    <row r="22" spans="2:6" x14ac:dyDescent="0.2">
      <c r="B22" s="69" t="s">
        <v>141</v>
      </c>
      <c r="C22" s="114" t="s">
        <v>140</v>
      </c>
    </row>
    <row r="23" spans="2:6" x14ac:dyDescent="0.2">
      <c r="B23" s="56" t="s">
        <v>145</v>
      </c>
      <c r="C23" s="113">
        <f>'PERSONAL BUDGET'!L109</f>
        <v>0</v>
      </c>
      <c r="E23" s="84"/>
    </row>
    <row r="24" spans="2:6" ht="24" customHeight="1" x14ac:dyDescent="0.2">
      <c r="F24" s="57" t="str">
        <f>IF(C28&gt;0, C28/SUM($C$8:$C$28), "")</f>
        <v/>
      </c>
    </row>
    <row r="25" spans="2:6" s="58" customFormat="1" ht="19.5" x14ac:dyDescent="0.25">
      <c r="B25" s="64" t="s">
        <v>144</v>
      </c>
    </row>
    <row r="26" spans="2:6" s="58" customFormat="1" x14ac:dyDescent="0.2">
      <c r="B26" s="58" t="s">
        <v>143</v>
      </c>
    </row>
    <row r="27" spans="2:6" s="58" customFormat="1" x14ac:dyDescent="0.2">
      <c r="B27" s="58" t="s">
        <v>142</v>
      </c>
    </row>
    <row r="29" spans="2:6" s="63" customFormat="1" x14ac:dyDescent="0.2">
      <c r="B29" s="68" t="s">
        <v>141</v>
      </c>
      <c r="C29" s="59" t="s">
        <v>140</v>
      </c>
      <c r="D29" s="67"/>
      <c r="E29" s="66"/>
      <c r="F29" s="67"/>
    </row>
    <row r="30" spans="2:6" s="63" customFormat="1" x14ac:dyDescent="0.2">
      <c r="B30" s="63" t="s">
        <v>139</v>
      </c>
      <c r="C30" s="84">
        <f>Debts2025303540455055[[#Totals],[Balance]]</f>
        <v>0</v>
      </c>
      <c r="D30" s="67"/>
      <c r="E30" s="66"/>
      <c r="F30" s="67"/>
    </row>
    <row r="31" spans="2:6" s="63" customFormat="1" x14ac:dyDescent="0.2">
      <c r="B31" s="63" t="s">
        <v>138</v>
      </c>
      <c r="C31" s="67" t="e">
        <f>Debts2025303540455055[[#Totals],[Interest Rate]]</f>
        <v>#DIV/0!</v>
      </c>
      <c r="D31" s="67"/>
      <c r="E31" s="66"/>
      <c r="F31" s="67"/>
    </row>
    <row r="32" spans="2:6" x14ac:dyDescent="0.2">
      <c r="B32" s="63" t="s">
        <v>137</v>
      </c>
      <c r="C32" s="66" t="e">
        <f>C30*C31/12</f>
        <v>#DIV/0!</v>
      </c>
      <c r="D32" s="67"/>
      <c r="E32" s="66"/>
      <c r="F32" s="67"/>
    </row>
    <row r="33" spans="2:3" x14ac:dyDescent="0.2">
      <c r="B33" s="63"/>
      <c r="C33" s="66"/>
    </row>
    <row r="34" spans="2:3" x14ac:dyDescent="0.2">
      <c r="B34" s="63" t="s">
        <v>136</v>
      </c>
      <c r="C34" s="66">
        <f>Debts2025303540455055[[#Totals],[Monthly Payment]]</f>
        <v>0</v>
      </c>
    </row>
    <row r="35" spans="2:3" x14ac:dyDescent="0.2">
      <c r="B35" s="63" t="s">
        <v>135</v>
      </c>
      <c r="C35" s="66">
        <f>Budget2227323742475257[Amount]</f>
        <v>0</v>
      </c>
    </row>
    <row r="36" spans="2:3" x14ac:dyDescent="0.2">
      <c r="B36" s="63"/>
      <c r="C36" s="66"/>
    </row>
    <row r="37" spans="2:3" ht="12.95" customHeight="1" x14ac:dyDescent="0.2">
      <c r="B37" s="63" t="s">
        <v>134</v>
      </c>
      <c r="C37" s="66">
        <f>C35-C34</f>
        <v>0</v>
      </c>
    </row>
    <row r="40" spans="2:3" ht="12.95" customHeight="1" x14ac:dyDescent="0.35">
      <c r="C40" s="65"/>
    </row>
    <row r="67" spans="2:6" s="58" customFormat="1" ht="19.5" x14ac:dyDescent="0.25">
      <c r="B67" s="64" t="s">
        <v>133</v>
      </c>
    </row>
    <row r="68" spans="2:6" s="58" customFormat="1" x14ac:dyDescent="0.2">
      <c r="B68" s="58" t="s">
        <v>161</v>
      </c>
    </row>
    <row r="69" spans="2:6" x14ac:dyDescent="0.2">
      <c r="C69" s="56"/>
      <c r="D69" s="56"/>
    </row>
    <row r="70" spans="2:6" x14ac:dyDescent="0.2">
      <c r="B70" s="63" t="s">
        <v>132</v>
      </c>
      <c r="C70" s="56"/>
      <c r="D70" s="56"/>
    </row>
    <row r="71" spans="2:6" ht="5.0999999999999996" customHeight="1" x14ac:dyDescent="0.2">
      <c r="C71" s="56"/>
      <c r="D71" s="56"/>
    </row>
    <row r="72" spans="2:6" x14ac:dyDescent="0.2">
      <c r="B72" s="61" t="s">
        <v>130</v>
      </c>
      <c r="C72" s="59" t="s">
        <v>129</v>
      </c>
      <c r="D72" s="60" t="s">
        <v>128</v>
      </c>
      <c r="E72" s="59" t="s">
        <v>127</v>
      </c>
      <c r="F72" s="59" t="s">
        <v>126</v>
      </c>
    </row>
    <row r="73" spans="2:6" x14ac:dyDescent="0.2">
      <c r="B73" s="61" t="str">
        <f>INDEX(Debts2025303540455055[[Creditor]:[Monthly Payment]], MATCH(MAX(Debts2025303540455055[Interest Rate]),Debts2025303540455055[Interest Rate], 0), 1)</f>
        <v>Paypal Credit Card</v>
      </c>
      <c r="C73" s="59">
        <f>INDEX(Debts2025303540455055[[Creditor]:[Monthly Payment]], MATCH(MAX(Debts2025303540455055[Interest Rate]),Debts2025303540455055[Interest Rate], 0), 2)</f>
        <v>0</v>
      </c>
      <c r="D73" s="60">
        <f>INDEX(Debts2025303540455055[[Creditor]:[Monthly Payment]], MATCH(MAX(Debts2025303540455055[Interest Rate]),Debts2025303540455055[Interest Rate], 0), 3)</f>
        <v>0.18490000000000001</v>
      </c>
      <c r="E73" s="59">
        <f>INDEX(Debts2025303540455055[[Creditor]:[Monthly Payment]], MATCH(MAX(Debts2025303540455055[Interest Rate]),Debts2025303540455055[Interest Rate], 0), 4)</f>
        <v>0</v>
      </c>
      <c r="F73" s="59">
        <f>INDEX(Debts2025303540455055[[Creditor]:[Monthly Payment]], MATCH(MAX(Debts2025303540455055[Interest Rate]),Debts2025303540455055[Interest Rate], 0), 4) + $C$37</f>
        <v>0</v>
      </c>
    </row>
    <row r="74" spans="2:6" x14ac:dyDescent="0.2">
      <c r="B74" s="61"/>
      <c r="C74" s="59"/>
      <c r="D74" s="60"/>
      <c r="E74" s="59"/>
      <c r="F74" s="59"/>
    </row>
    <row r="75" spans="2:6" x14ac:dyDescent="0.2">
      <c r="B75" s="63" t="s">
        <v>131</v>
      </c>
      <c r="C75" s="62"/>
      <c r="D75" s="62"/>
      <c r="E75" s="59"/>
      <c r="F75" s="60"/>
    </row>
    <row r="76" spans="2:6" ht="5.0999999999999996" customHeight="1" x14ac:dyDescent="0.2">
      <c r="C76" s="62"/>
      <c r="D76" s="62"/>
      <c r="E76" s="59"/>
      <c r="F76" s="60"/>
    </row>
    <row r="77" spans="2:6" x14ac:dyDescent="0.2">
      <c r="B77" s="61" t="s">
        <v>130</v>
      </c>
      <c r="C77" s="59" t="s">
        <v>129</v>
      </c>
      <c r="D77" s="60" t="s">
        <v>128</v>
      </c>
      <c r="E77" s="59" t="s">
        <v>127</v>
      </c>
      <c r="F77" s="59" t="s">
        <v>126</v>
      </c>
    </row>
    <row r="78" spans="2:6" x14ac:dyDescent="0.2">
      <c r="B78" s="61" t="str">
        <f>INDEX(Debts2025303540455055[[Creditor]:[Monthly Payment]], MATCH(MIN(Debts2025303540455055[Balance]),Debts2025303540455055[Balance], 0), 1)</f>
        <v>Paypal Credit Card</v>
      </c>
      <c r="C78" s="59">
        <f>INDEX(Debts2025303540455055[[Creditor]:[Monthly Payment]], MATCH(MIN(Debts2025303540455055[Balance]),Debts2025303540455055[Balance], 0), 2)</f>
        <v>0</v>
      </c>
      <c r="D78" s="60">
        <f>INDEX(Debts2025303540455055[[Creditor]:[Monthly Payment]], MATCH(MIN(Debts2025303540455055[Balance]),Debts2025303540455055[Balance], 0), 3)</f>
        <v>0.18490000000000001</v>
      </c>
      <c r="E78" s="59">
        <f>INDEX(Debts2025303540455055[[Creditor]:[Monthly Payment]], MATCH(MIN(Debts2025303540455055[Balance]),Debts2025303540455055[Balance], 0), 4)</f>
        <v>0</v>
      </c>
      <c r="F78" s="59">
        <f>INDEX(Debts2025303540455055[[Creditor]:[Monthly Payment]], MATCH(MIN(Debts2025303540455055[Balance]),Debts2025303540455055[Balance], 0), 4) + $C$37</f>
        <v>0</v>
      </c>
    </row>
    <row r="82" spans="2:3" x14ac:dyDescent="0.2">
      <c r="B82" s="63" t="s">
        <v>163</v>
      </c>
      <c r="C82" s="66"/>
    </row>
    <row r="83" spans="2:3" x14ac:dyDescent="0.2">
      <c r="B83" s="63"/>
      <c r="C83" s="66"/>
    </row>
    <row r="84" spans="2:3" x14ac:dyDescent="0.2">
      <c r="B84" s="63" t="s">
        <v>162</v>
      </c>
      <c r="C84" s="66"/>
    </row>
  </sheetData>
  <conditionalFormatting sqref="C37">
    <cfRule type="cellIs" dxfId="174" priority="1" operator="lessThan">
      <formula>0</formula>
    </cfRule>
  </conditionalFormatting>
  <pageMargins left="0.7" right="0.7" top="0.75" bottom="0.75" header="0.5" footer="0.5"/>
  <pageSetup orientation="landscape" horizontalDpi="4294967292" verticalDpi="4294967292"/>
  <drawing r:id="rId1"/>
  <tableParts count="5">
    <tablePart r:id="rId2"/>
    <tablePart r:id="rId3"/>
    <tablePart r:id="rId4"/>
    <tablePart r:id="rId5"/>
    <tablePart r:id="rId6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1C757-0672-4085-B138-060E18416AE2}">
  <dimension ref="B1:Q84"/>
  <sheetViews>
    <sheetView showGridLines="0" workbookViewId="0">
      <selection activeCell="F1" sqref="F1"/>
    </sheetView>
  </sheetViews>
  <sheetFormatPr defaultColWidth="10.625" defaultRowHeight="12.75" x14ac:dyDescent="0.2"/>
  <cols>
    <col min="1" max="1" width="6" style="56" customWidth="1"/>
    <col min="2" max="2" width="34.125" style="56" customWidth="1"/>
    <col min="3" max="3" width="15.875" style="58" customWidth="1"/>
    <col min="4" max="4" width="16.125" style="57" customWidth="1"/>
    <col min="5" max="5" width="21.875" style="58" customWidth="1"/>
    <col min="6" max="6" width="16.625" style="57" customWidth="1"/>
    <col min="7" max="7" width="10.25" style="56" customWidth="1"/>
    <col min="8" max="16384" width="10.625" style="56"/>
  </cols>
  <sheetData>
    <row r="1" spans="2:17" s="58" customFormat="1" ht="36" x14ac:dyDescent="0.5">
      <c r="B1" s="73" t="s">
        <v>160</v>
      </c>
      <c r="F1" s="121" t="s">
        <v>98</v>
      </c>
      <c r="H1" s="72"/>
    </row>
    <row r="3" spans="2:17" s="58" customFormat="1" ht="19.5" x14ac:dyDescent="0.25">
      <c r="B3" s="64" t="s">
        <v>154</v>
      </c>
    </row>
    <row r="4" spans="2:17" s="58" customFormat="1" x14ac:dyDescent="0.2">
      <c r="B4" s="58" t="s">
        <v>153</v>
      </c>
    </row>
    <row r="5" spans="2:17" s="58" customFormat="1" x14ac:dyDescent="0.2">
      <c r="B5" s="58" t="s">
        <v>152</v>
      </c>
    </row>
    <row r="6" spans="2:17" x14ac:dyDescent="0.2">
      <c r="H6" s="83" t="s">
        <v>159</v>
      </c>
      <c r="I6" s="83"/>
      <c r="J6" s="83"/>
      <c r="K6" s="83"/>
      <c r="L6" s="83"/>
      <c r="M6" s="83"/>
      <c r="N6" s="83"/>
      <c r="O6" s="83"/>
      <c r="P6" s="83"/>
      <c r="Q6" s="83"/>
    </row>
    <row r="7" spans="2:17" ht="12.75" customHeight="1" x14ac:dyDescent="0.2">
      <c r="B7" s="63" t="s">
        <v>130</v>
      </c>
      <c r="C7" s="71" t="s">
        <v>129</v>
      </c>
      <c r="D7" s="70" t="s">
        <v>128</v>
      </c>
      <c r="E7" s="71" t="s">
        <v>127</v>
      </c>
      <c r="F7" s="70" t="s">
        <v>151</v>
      </c>
      <c r="H7" s="120" t="s">
        <v>171</v>
      </c>
      <c r="I7" s="119"/>
      <c r="J7" s="83"/>
      <c r="K7" s="83"/>
      <c r="L7" s="83"/>
      <c r="M7" s="83"/>
      <c r="N7" s="83"/>
      <c r="O7" s="83"/>
      <c r="P7" s="83"/>
      <c r="Q7" s="83"/>
    </row>
    <row r="8" spans="2:17" x14ac:dyDescent="0.2">
      <c r="B8" s="56" t="s">
        <v>164</v>
      </c>
      <c r="C8" s="58">
        <v>0</v>
      </c>
      <c r="D8" s="57">
        <v>0</v>
      </c>
      <c r="E8" s="58">
        <v>0</v>
      </c>
      <c r="F8" s="57" t="str">
        <f>IF(C8&gt;0, C8/SUM($C$8:$C$28), "")</f>
        <v/>
      </c>
      <c r="G8" s="115"/>
      <c r="H8" s="115"/>
    </row>
    <row r="9" spans="2:17" x14ac:dyDescent="0.2">
      <c r="B9" s="74" t="s">
        <v>165</v>
      </c>
      <c r="C9" s="75">
        <v>0</v>
      </c>
      <c r="D9" s="76">
        <v>0</v>
      </c>
      <c r="E9" s="75">
        <v>0</v>
      </c>
      <c r="F9" s="76" t="str">
        <f>IF(C9&gt;0, C9/SUM($C$8:$C$28), "")</f>
        <v/>
      </c>
      <c r="G9" s="115"/>
      <c r="H9" s="115"/>
    </row>
    <row r="10" spans="2:17" x14ac:dyDescent="0.2">
      <c r="B10" s="74" t="s">
        <v>166</v>
      </c>
      <c r="C10" s="75">
        <v>0</v>
      </c>
      <c r="D10" s="76">
        <v>0</v>
      </c>
      <c r="E10" s="75">
        <v>0</v>
      </c>
      <c r="F10" s="76" t="str">
        <f>IF(C10&gt;0, C10/SUM($C$8:$C$28), "")</f>
        <v/>
      </c>
      <c r="G10" s="115"/>
      <c r="H10" s="115"/>
    </row>
    <row r="11" spans="2:17" x14ac:dyDescent="0.2">
      <c r="B11" s="56" t="s">
        <v>150</v>
      </c>
      <c r="C11" s="58">
        <v>0</v>
      </c>
      <c r="D11" s="57">
        <v>0</v>
      </c>
      <c r="E11" s="58">
        <v>0</v>
      </c>
      <c r="F11" s="57" t="str">
        <f>IF(C11&gt;0, C11/SUM($C$8:$C$28), "")</f>
        <v/>
      </c>
      <c r="G11" s="115"/>
      <c r="H11" s="115"/>
    </row>
    <row r="12" spans="2:17" x14ac:dyDescent="0.2">
      <c r="B12" s="56" t="s">
        <v>150</v>
      </c>
      <c r="C12" s="58">
        <v>0</v>
      </c>
      <c r="D12" s="57">
        <v>0</v>
      </c>
      <c r="E12" s="58">
        <v>0</v>
      </c>
      <c r="F12" s="57" t="str">
        <f>IF(C12&gt;0, C12/SUM($C$8:$C$28), "")</f>
        <v/>
      </c>
      <c r="G12" s="115"/>
      <c r="H12" s="115"/>
    </row>
    <row r="13" spans="2:17" x14ac:dyDescent="0.2">
      <c r="B13" s="56" t="s">
        <v>149</v>
      </c>
      <c r="C13" s="58">
        <v>0</v>
      </c>
      <c r="D13" s="57">
        <v>0</v>
      </c>
      <c r="E13" s="58">
        <v>0</v>
      </c>
      <c r="F13" s="57" t="str">
        <f>IF(C13&gt;0, C13/SUM($C$8:$C$28), "")</f>
        <v/>
      </c>
      <c r="G13" s="115"/>
      <c r="H13" s="115"/>
    </row>
    <row r="14" spans="2:17" x14ac:dyDescent="0.2">
      <c r="B14" s="56" t="s">
        <v>148</v>
      </c>
      <c r="C14" s="58">
        <v>0</v>
      </c>
      <c r="D14" s="57">
        <v>0</v>
      </c>
      <c r="E14" s="58">
        <v>0</v>
      </c>
      <c r="F14" s="57" t="str">
        <f>IF(C14&gt;0, C14/SUM($C$8:$C$28), "")</f>
        <v/>
      </c>
      <c r="G14" s="115"/>
      <c r="H14" s="115"/>
    </row>
    <row r="15" spans="2:17" x14ac:dyDescent="0.2">
      <c r="B15" s="56" t="s">
        <v>147</v>
      </c>
      <c r="C15" s="58">
        <v>0</v>
      </c>
      <c r="D15" s="57">
        <v>0</v>
      </c>
      <c r="E15" s="58">
        <v>0</v>
      </c>
      <c r="F15" s="57" t="str">
        <f>IF(C15&gt;0, C15/SUM($C$8:$C$28), "")</f>
        <v/>
      </c>
      <c r="G15" s="115"/>
      <c r="H15" s="115"/>
    </row>
    <row r="16" spans="2:17" x14ac:dyDescent="0.2">
      <c r="B16" s="77" t="s">
        <v>55</v>
      </c>
      <c r="C16" s="78">
        <f>SUBTOTAL(109,Debts202530354045505560[Balance])</f>
        <v>0</v>
      </c>
      <c r="D16" s="79" t="e">
        <f>SUMPRODUCT(Debts202530354045505560[Balance],Debts202530354045505560[Interest Rate])/SUM(Debts202530354045505560[Balance])</f>
        <v>#DIV/0!</v>
      </c>
      <c r="E16" s="78">
        <f>SUBTOTAL(109,Debts202530354045505560[Monthly Payment])</f>
        <v>0</v>
      </c>
      <c r="F16" s="79">
        <f>SUBTOTAL(109,Debts202530354045505560[% of Total])</f>
        <v>0</v>
      </c>
    </row>
    <row r="17" spans="2:6" ht="24" customHeight="1" x14ac:dyDescent="0.2"/>
    <row r="18" spans="2:6" s="58" customFormat="1" ht="19.5" x14ac:dyDescent="0.25">
      <c r="B18" s="64" t="s">
        <v>146</v>
      </c>
    </row>
    <row r="19" spans="2:6" s="58" customFormat="1" x14ac:dyDescent="0.2">
      <c r="B19" s="58" t="s">
        <v>167</v>
      </c>
    </row>
    <row r="20" spans="2:6" s="58" customFormat="1" x14ac:dyDescent="0.2">
      <c r="B20" s="58" t="s">
        <v>168</v>
      </c>
    </row>
    <row r="22" spans="2:6" x14ac:dyDescent="0.2">
      <c r="B22" s="69" t="s">
        <v>141</v>
      </c>
      <c r="C22" s="114" t="s">
        <v>140</v>
      </c>
    </row>
    <row r="23" spans="2:6" x14ac:dyDescent="0.2">
      <c r="B23" s="56" t="s">
        <v>145</v>
      </c>
      <c r="C23" s="113">
        <f>'PERSONAL BUDGET'!M109</f>
        <v>0</v>
      </c>
      <c r="E23" s="84"/>
    </row>
    <row r="24" spans="2:6" ht="24" customHeight="1" x14ac:dyDescent="0.2">
      <c r="F24" s="57" t="str">
        <f>IF(C28&gt;0, C28/SUM($C$8:$C$28), "")</f>
        <v/>
      </c>
    </row>
    <row r="25" spans="2:6" s="58" customFormat="1" ht="19.5" x14ac:dyDescent="0.25">
      <c r="B25" s="64" t="s">
        <v>144</v>
      </c>
    </row>
    <row r="26" spans="2:6" s="58" customFormat="1" x14ac:dyDescent="0.2">
      <c r="B26" s="58" t="s">
        <v>143</v>
      </c>
    </row>
    <row r="27" spans="2:6" s="58" customFormat="1" x14ac:dyDescent="0.2">
      <c r="B27" s="58" t="s">
        <v>142</v>
      </c>
    </row>
    <row r="29" spans="2:6" s="63" customFormat="1" x14ac:dyDescent="0.2">
      <c r="B29" s="68" t="s">
        <v>141</v>
      </c>
      <c r="C29" s="59" t="s">
        <v>140</v>
      </c>
      <c r="D29" s="67"/>
      <c r="E29" s="66"/>
      <c r="F29" s="67"/>
    </row>
    <row r="30" spans="2:6" s="63" customFormat="1" x14ac:dyDescent="0.2">
      <c r="B30" s="63" t="s">
        <v>139</v>
      </c>
      <c r="C30" s="84">
        <f>Debts202530354045505560[[#Totals],[Balance]]</f>
        <v>0</v>
      </c>
      <c r="D30" s="67"/>
      <c r="E30" s="66"/>
      <c r="F30" s="67"/>
    </row>
    <row r="31" spans="2:6" s="63" customFormat="1" x14ac:dyDescent="0.2">
      <c r="B31" s="63" t="s">
        <v>138</v>
      </c>
      <c r="C31" s="67" t="e">
        <f>Debts202530354045505560[[#Totals],[Interest Rate]]</f>
        <v>#DIV/0!</v>
      </c>
      <c r="D31" s="67"/>
      <c r="E31" s="66"/>
      <c r="F31" s="67"/>
    </row>
    <row r="32" spans="2:6" x14ac:dyDescent="0.2">
      <c r="B32" s="63" t="s">
        <v>137</v>
      </c>
      <c r="C32" s="66" t="e">
        <f>C30*C31/12</f>
        <v>#DIV/0!</v>
      </c>
      <c r="D32" s="67"/>
      <c r="E32" s="66"/>
      <c r="F32" s="67"/>
    </row>
    <row r="33" spans="2:3" x14ac:dyDescent="0.2">
      <c r="B33" s="63"/>
      <c r="C33" s="66"/>
    </row>
    <row r="34" spans="2:3" x14ac:dyDescent="0.2">
      <c r="B34" s="63" t="s">
        <v>136</v>
      </c>
      <c r="C34" s="66">
        <f>Debts202530354045505560[[#Totals],[Monthly Payment]]</f>
        <v>0</v>
      </c>
    </row>
    <row r="35" spans="2:3" x14ac:dyDescent="0.2">
      <c r="B35" s="63" t="s">
        <v>135</v>
      </c>
      <c r="C35" s="66">
        <f>Budget222732374247525762[Amount]</f>
        <v>0</v>
      </c>
    </row>
    <row r="36" spans="2:3" x14ac:dyDescent="0.2">
      <c r="B36" s="63"/>
      <c r="C36" s="66"/>
    </row>
    <row r="37" spans="2:3" ht="12.95" customHeight="1" x14ac:dyDescent="0.2">
      <c r="B37" s="63" t="s">
        <v>134</v>
      </c>
      <c r="C37" s="66">
        <f>C35-C34</f>
        <v>0</v>
      </c>
    </row>
    <row r="40" spans="2:3" ht="12.95" customHeight="1" x14ac:dyDescent="0.35">
      <c r="C40" s="65"/>
    </row>
    <row r="67" spans="2:6" s="58" customFormat="1" ht="19.5" x14ac:dyDescent="0.25">
      <c r="B67" s="64" t="s">
        <v>133</v>
      </c>
    </row>
    <row r="68" spans="2:6" s="58" customFormat="1" x14ac:dyDescent="0.2">
      <c r="B68" s="58" t="s">
        <v>161</v>
      </c>
    </row>
    <row r="69" spans="2:6" x14ac:dyDescent="0.2">
      <c r="C69" s="56"/>
      <c r="D69" s="56"/>
    </row>
    <row r="70" spans="2:6" x14ac:dyDescent="0.2">
      <c r="B70" s="63" t="s">
        <v>132</v>
      </c>
      <c r="C70" s="56"/>
      <c r="D70" s="56"/>
    </row>
    <row r="71" spans="2:6" ht="5.0999999999999996" customHeight="1" x14ac:dyDescent="0.2">
      <c r="C71" s="56"/>
      <c r="D71" s="56"/>
    </row>
    <row r="72" spans="2:6" x14ac:dyDescent="0.2">
      <c r="B72" s="61" t="s">
        <v>130</v>
      </c>
      <c r="C72" s="59" t="s">
        <v>129</v>
      </c>
      <c r="D72" s="60" t="s">
        <v>128</v>
      </c>
      <c r="E72" s="59" t="s">
        <v>127</v>
      </c>
      <c r="F72" s="59" t="s">
        <v>126</v>
      </c>
    </row>
    <row r="73" spans="2:6" x14ac:dyDescent="0.2">
      <c r="B73" s="61" t="str">
        <f>INDEX(Debts202530354045505560[[Creditor]:[Monthly Payment]], MATCH(MAX(Debts202530354045505560[Interest Rate]),Debts202530354045505560[Interest Rate], 0), 1)</f>
        <v>Paypal Credit Card</v>
      </c>
      <c r="C73" s="59">
        <f>INDEX(Debts202530354045505560[[Creditor]:[Monthly Payment]], MATCH(MAX(Debts202530354045505560[Interest Rate]),Debts202530354045505560[Interest Rate], 0), 2)</f>
        <v>0</v>
      </c>
      <c r="D73" s="60">
        <f>INDEX(Debts202530354045505560[[Creditor]:[Monthly Payment]], MATCH(MAX(Debts202530354045505560[Interest Rate]),Debts202530354045505560[Interest Rate], 0), 3)</f>
        <v>0</v>
      </c>
      <c r="E73" s="59">
        <f>INDEX(Debts202530354045505560[[Creditor]:[Monthly Payment]], MATCH(MAX(Debts202530354045505560[Interest Rate]),Debts202530354045505560[Interest Rate], 0), 4)</f>
        <v>0</v>
      </c>
      <c r="F73" s="59">
        <f>INDEX(Debts202530354045505560[[Creditor]:[Monthly Payment]], MATCH(MAX(Debts202530354045505560[Interest Rate]),Debts202530354045505560[Interest Rate], 0), 4) + $C$37</f>
        <v>0</v>
      </c>
    </row>
    <row r="74" spans="2:6" x14ac:dyDescent="0.2">
      <c r="B74" s="61"/>
      <c r="C74" s="59"/>
      <c r="D74" s="60"/>
      <c r="E74" s="59"/>
      <c r="F74" s="59"/>
    </row>
    <row r="75" spans="2:6" x14ac:dyDescent="0.2">
      <c r="B75" s="63" t="s">
        <v>131</v>
      </c>
      <c r="C75" s="62"/>
      <c r="D75" s="62"/>
      <c r="E75" s="59"/>
      <c r="F75" s="60"/>
    </row>
    <row r="76" spans="2:6" ht="5.0999999999999996" customHeight="1" x14ac:dyDescent="0.2">
      <c r="C76" s="62"/>
      <c r="D76" s="62"/>
      <c r="E76" s="59"/>
      <c r="F76" s="60"/>
    </row>
    <row r="77" spans="2:6" x14ac:dyDescent="0.2">
      <c r="B77" s="61" t="s">
        <v>130</v>
      </c>
      <c r="C77" s="59" t="s">
        <v>129</v>
      </c>
      <c r="D77" s="60" t="s">
        <v>128</v>
      </c>
      <c r="E77" s="59" t="s">
        <v>127</v>
      </c>
      <c r="F77" s="59" t="s">
        <v>126</v>
      </c>
    </row>
    <row r="78" spans="2:6" x14ac:dyDescent="0.2">
      <c r="B78" s="61" t="str">
        <f>INDEX(Debts202530354045505560[[Creditor]:[Monthly Payment]], MATCH(MIN(Debts202530354045505560[Balance]),Debts202530354045505560[Balance], 0), 1)</f>
        <v>Paypal Credit Card</v>
      </c>
      <c r="C78" s="59">
        <f>INDEX(Debts202530354045505560[[Creditor]:[Monthly Payment]], MATCH(MIN(Debts202530354045505560[Balance]),Debts202530354045505560[Balance], 0), 2)</f>
        <v>0</v>
      </c>
      <c r="D78" s="60">
        <f>INDEX(Debts202530354045505560[[Creditor]:[Monthly Payment]], MATCH(MIN(Debts202530354045505560[Balance]),Debts202530354045505560[Balance], 0), 3)</f>
        <v>0</v>
      </c>
      <c r="E78" s="59">
        <f>INDEX(Debts202530354045505560[[Creditor]:[Monthly Payment]], MATCH(MIN(Debts202530354045505560[Balance]),Debts202530354045505560[Balance], 0), 4)</f>
        <v>0</v>
      </c>
      <c r="F78" s="59">
        <f>INDEX(Debts202530354045505560[[Creditor]:[Monthly Payment]], MATCH(MIN(Debts202530354045505560[Balance]),Debts202530354045505560[Balance], 0), 4) + $C$37</f>
        <v>0</v>
      </c>
    </row>
    <row r="82" spans="2:3" x14ac:dyDescent="0.2">
      <c r="B82" s="63" t="s">
        <v>163</v>
      </c>
      <c r="C82" s="66"/>
    </row>
    <row r="83" spans="2:3" x14ac:dyDescent="0.2">
      <c r="B83" s="63"/>
      <c r="C83" s="66"/>
    </row>
    <row r="84" spans="2:3" x14ac:dyDescent="0.2">
      <c r="B84" s="63" t="s">
        <v>162</v>
      </c>
      <c r="C84" s="66"/>
    </row>
  </sheetData>
  <conditionalFormatting sqref="C37">
    <cfRule type="cellIs" dxfId="149" priority="1" operator="lessThan">
      <formula>0</formula>
    </cfRule>
  </conditionalFormatting>
  <pageMargins left="0.7" right="0.7" top="0.75" bottom="0.75" header="0.5" footer="0.5"/>
  <pageSetup orientation="landscape" horizontalDpi="4294967292" verticalDpi="4294967292"/>
  <drawing r:id="rId1"/>
  <tableParts count="5">
    <tablePart r:id="rId2"/>
    <tablePart r:id="rId3"/>
    <tablePart r:id="rId4"/>
    <tablePart r:id="rId5"/>
    <tablePart r:id="rId6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B0EFF-BA4C-4AB7-9F5E-50E082FAF0AD}">
  <dimension ref="B1:Q84"/>
  <sheetViews>
    <sheetView showGridLines="0" workbookViewId="0">
      <selection activeCell="F1" sqref="F1"/>
    </sheetView>
  </sheetViews>
  <sheetFormatPr defaultColWidth="10.625" defaultRowHeight="12.75" x14ac:dyDescent="0.2"/>
  <cols>
    <col min="1" max="1" width="6" style="56" customWidth="1"/>
    <col min="2" max="2" width="34.125" style="56" customWidth="1"/>
    <col min="3" max="3" width="15.875" style="58" customWidth="1"/>
    <col min="4" max="4" width="16.125" style="57" customWidth="1"/>
    <col min="5" max="5" width="21.875" style="58" customWidth="1"/>
    <col min="6" max="6" width="16.625" style="57" customWidth="1"/>
    <col min="7" max="7" width="10.25" style="56" customWidth="1"/>
    <col min="8" max="16384" width="10.625" style="56"/>
  </cols>
  <sheetData>
    <row r="1" spans="2:17" s="58" customFormat="1" ht="36" x14ac:dyDescent="0.5">
      <c r="B1" s="73" t="s">
        <v>160</v>
      </c>
      <c r="F1" s="121" t="s">
        <v>99</v>
      </c>
      <c r="H1" s="72"/>
    </row>
    <row r="3" spans="2:17" s="58" customFormat="1" ht="19.5" x14ac:dyDescent="0.25">
      <c r="B3" s="64" t="s">
        <v>154</v>
      </c>
    </row>
    <row r="4" spans="2:17" s="58" customFormat="1" x14ac:dyDescent="0.2">
      <c r="B4" s="58" t="s">
        <v>153</v>
      </c>
    </row>
    <row r="5" spans="2:17" s="58" customFormat="1" x14ac:dyDescent="0.2">
      <c r="B5" s="58" t="s">
        <v>152</v>
      </c>
    </row>
    <row r="6" spans="2:17" x14ac:dyDescent="0.2">
      <c r="H6" s="83" t="s">
        <v>159</v>
      </c>
      <c r="I6" s="83"/>
      <c r="J6" s="83"/>
      <c r="K6" s="83"/>
      <c r="L6" s="83"/>
      <c r="M6" s="83"/>
      <c r="N6" s="83"/>
      <c r="O6" s="83"/>
      <c r="P6" s="83"/>
      <c r="Q6" s="83"/>
    </row>
    <row r="7" spans="2:17" ht="12.75" customHeight="1" x14ac:dyDescent="0.2">
      <c r="B7" s="63" t="s">
        <v>130</v>
      </c>
      <c r="C7" s="71" t="s">
        <v>129</v>
      </c>
      <c r="D7" s="70" t="s">
        <v>128</v>
      </c>
      <c r="E7" s="71" t="s">
        <v>127</v>
      </c>
      <c r="F7" s="70" t="s">
        <v>151</v>
      </c>
      <c r="H7" s="120" t="s">
        <v>171</v>
      </c>
      <c r="I7" s="119"/>
      <c r="J7" s="83"/>
      <c r="K7" s="83"/>
      <c r="L7" s="83"/>
      <c r="M7" s="83"/>
      <c r="N7" s="83"/>
      <c r="O7" s="83"/>
      <c r="P7" s="83"/>
      <c r="Q7" s="83"/>
    </row>
    <row r="8" spans="2:17" x14ac:dyDescent="0.2">
      <c r="B8" s="56" t="s">
        <v>164</v>
      </c>
      <c r="C8" s="58">
        <v>0</v>
      </c>
      <c r="D8" s="57">
        <v>0</v>
      </c>
      <c r="E8" s="58">
        <v>0</v>
      </c>
      <c r="F8" s="57" t="str">
        <f>IF(C8&gt;0, C8/SUM($C$8:$C$28), "")</f>
        <v/>
      </c>
      <c r="G8" s="115"/>
      <c r="H8" s="115"/>
    </row>
    <row r="9" spans="2:17" x14ac:dyDescent="0.2">
      <c r="B9" s="74" t="s">
        <v>165</v>
      </c>
      <c r="C9" s="75">
        <v>0</v>
      </c>
      <c r="D9" s="76">
        <v>0</v>
      </c>
      <c r="E9" s="75">
        <v>0</v>
      </c>
      <c r="F9" s="76" t="str">
        <f>IF(C9&gt;0, C9/SUM($C$8:$C$28), "")</f>
        <v/>
      </c>
      <c r="G9" s="115"/>
      <c r="H9" s="115"/>
    </row>
    <row r="10" spans="2:17" x14ac:dyDescent="0.2">
      <c r="B10" s="74" t="s">
        <v>166</v>
      </c>
      <c r="C10" s="75">
        <v>0</v>
      </c>
      <c r="D10" s="76">
        <v>0</v>
      </c>
      <c r="E10" s="75">
        <v>0</v>
      </c>
      <c r="F10" s="76" t="str">
        <f>IF(C10&gt;0, C10/SUM($C$8:$C$28), "")</f>
        <v/>
      </c>
      <c r="G10" s="115"/>
      <c r="H10" s="115"/>
    </row>
    <row r="11" spans="2:17" x14ac:dyDescent="0.2">
      <c r="B11" s="56" t="s">
        <v>150</v>
      </c>
      <c r="C11" s="58">
        <v>0</v>
      </c>
      <c r="D11" s="57">
        <v>0</v>
      </c>
      <c r="E11" s="58">
        <v>0</v>
      </c>
      <c r="F11" s="57" t="str">
        <f>IF(C11&gt;0, C11/SUM($C$8:$C$28), "")</f>
        <v/>
      </c>
      <c r="G11" s="115"/>
      <c r="H11" s="115"/>
    </row>
    <row r="12" spans="2:17" x14ac:dyDescent="0.2">
      <c r="B12" s="56" t="s">
        <v>150</v>
      </c>
      <c r="C12" s="58">
        <v>0</v>
      </c>
      <c r="D12" s="57">
        <v>0</v>
      </c>
      <c r="E12" s="58">
        <v>0</v>
      </c>
      <c r="F12" s="57" t="str">
        <f>IF(C12&gt;0, C12/SUM($C$8:$C$28), "")</f>
        <v/>
      </c>
      <c r="G12" s="115"/>
      <c r="H12" s="115"/>
    </row>
    <row r="13" spans="2:17" x14ac:dyDescent="0.2">
      <c r="B13" s="56" t="s">
        <v>149</v>
      </c>
      <c r="C13" s="58">
        <v>0</v>
      </c>
      <c r="D13" s="57">
        <v>0</v>
      </c>
      <c r="E13" s="58">
        <v>0</v>
      </c>
      <c r="F13" s="57" t="str">
        <f>IF(C13&gt;0, C13/SUM($C$8:$C$28), "")</f>
        <v/>
      </c>
      <c r="G13" s="115"/>
      <c r="H13" s="115"/>
    </row>
    <row r="14" spans="2:17" x14ac:dyDescent="0.2">
      <c r="B14" s="56" t="s">
        <v>148</v>
      </c>
      <c r="C14" s="58">
        <v>0</v>
      </c>
      <c r="D14" s="57">
        <v>0</v>
      </c>
      <c r="E14" s="58">
        <v>0</v>
      </c>
      <c r="F14" s="57" t="str">
        <f>IF(C14&gt;0, C14/SUM($C$8:$C$28), "")</f>
        <v/>
      </c>
      <c r="G14" s="115"/>
      <c r="H14" s="115"/>
    </row>
    <row r="15" spans="2:17" x14ac:dyDescent="0.2">
      <c r="B15" s="56" t="s">
        <v>147</v>
      </c>
      <c r="C15" s="58">
        <v>0</v>
      </c>
      <c r="D15" s="57">
        <v>0</v>
      </c>
      <c r="E15" s="58">
        <v>0</v>
      </c>
      <c r="F15" s="57" t="str">
        <f>IF(C15&gt;0, C15/SUM($C$8:$C$28), "")</f>
        <v/>
      </c>
      <c r="G15" s="115"/>
      <c r="H15" s="115"/>
    </row>
    <row r="16" spans="2:17" x14ac:dyDescent="0.2">
      <c r="B16" s="77" t="s">
        <v>55</v>
      </c>
      <c r="C16" s="78">
        <f>SUBTOTAL(109,Debts20253035404550556065[Balance])</f>
        <v>0</v>
      </c>
      <c r="D16" s="79" t="e">
        <f>SUMPRODUCT(Debts20253035404550556065[Balance],Debts20253035404550556065[Interest Rate])/SUM(Debts20253035404550556065[Balance])</f>
        <v>#DIV/0!</v>
      </c>
      <c r="E16" s="78">
        <f>SUBTOTAL(109,Debts20253035404550556065[Monthly Payment])</f>
        <v>0</v>
      </c>
      <c r="F16" s="79">
        <f>SUBTOTAL(109,Debts20253035404550556065[% of Total])</f>
        <v>0</v>
      </c>
    </row>
    <row r="17" spans="2:6" ht="24" customHeight="1" x14ac:dyDescent="0.2"/>
    <row r="18" spans="2:6" s="58" customFormat="1" ht="19.5" x14ac:dyDescent="0.25">
      <c r="B18" s="64" t="s">
        <v>146</v>
      </c>
    </row>
    <row r="19" spans="2:6" s="58" customFormat="1" x14ac:dyDescent="0.2">
      <c r="B19" s="58" t="s">
        <v>167</v>
      </c>
    </row>
    <row r="20" spans="2:6" s="58" customFormat="1" x14ac:dyDescent="0.2">
      <c r="B20" s="58" t="s">
        <v>168</v>
      </c>
    </row>
    <row r="22" spans="2:6" x14ac:dyDescent="0.2">
      <c r="B22" s="69" t="s">
        <v>141</v>
      </c>
      <c r="C22" s="114" t="s">
        <v>140</v>
      </c>
    </row>
    <row r="23" spans="2:6" x14ac:dyDescent="0.2">
      <c r="B23" s="56" t="s">
        <v>145</v>
      </c>
      <c r="C23" s="113">
        <f>'PERSONAL BUDGET'!N109</f>
        <v>0</v>
      </c>
      <c r="E23" s="84"/>
    </row>
    <row r="24" spans="2:6" ht="24" customHeight="1" x14ac:dyDescent="0.2">
      <c r="F24" s="57" t="str">
        <f>IF(C28&gt;0, C28/SUM($C$8:$C$28), "")</f>
        <v/>
      </c>
    </row>
    <row r="25" spans="2:6" s="58" customFormat="1" ht="19.5" x14ac:dyDescent="0.25">
      <c r="B25" s="64" t="s">
        <v>144</v>
      </c>
    </row>
    <row r="26" spans="2:6" s="58" customFormat="1" x14ac:dyDescent="0.2">
      <c r="B26" s="58" t="s">
        <v>143</v>
      </c>
    </row>
    <row r="27" spans="2:6" s="58" customFormat="1" x14ac:dyDescent="0.2">
      <c r="B27" s="58" t="s">
        <v>142</v>
      </c>
    </row>
    <row r="29" spans="2:6" s="63" customFormat="1" x14ac:dyDescent="0.2">
      <c r="B29" s="68" t="s">
        <v>141</v>
      </c>
      <c r="C29" s="59" t="s">
        <v>140</v>
      </c>
      <c r="D29" s="67"/>
      <c r="E29" s="66"/>
      <c r="F29" s="67"/>
    </row>
    <row r="30" spans="2:6" s="63" customFormat="1" x14ac:dyDescent="0.2">
      <c r="B30" s="63" t="s">
        <v>139</v>
      </c>
      <c r="C30" s="84">
        <f>Debts20253035404550556065[[#Totals],[Balance]]</f>
        <v>0</v>
      </c>
      <c r="D30" s="67"/>
      <c r="E30" s="66"/>
      <c r="F30" s="67"/>
    </row>
    <row r="31" spans="2:6" s="63" customFormat="1" x14ac:dyDescent="0.2">
      <c r="B31" s="63" t="s">
        <v>138</v>
      </c>
      <c r="C31" s="67" t="e">
        <f>Debts20253035404550556065[[#Totals],[Interest Rate]]</f>
        <v>#DIV/0!</v>
      </c>
      <c r="D31" s="67"/>
      <c r="E31" s="66"/>
      <c r="F31" s="67"/>
    </row>
    <row r="32" spans="2:6" x14ac:dyDescent="0.2">
      <c r="B32" s="63" t="s">
        <v>137</v>
      </c>
      <c r="C32" s="66" t="e">
        <f>C30*C31/12</f>
        <v>#DIV/0!</v>
      </c>
      <c r="D32" s="67"/>
      <c r="E32" s="66"/>
      <c r="F32" s="67"/>
    </row>
    <row r="33" spans="2:3" x14ac:dyDescent="0.2">
      <c r="B33" s="63"/>
      <c r="C33" s="66"/>
    </row>
    <row r="34" spans="2:3" x14ac:dyDescent="0.2">
      <c r="B34" s="63" t="s">
        <v>136</v>
      </c>
      <c r="C34" s="66">
        <f>Debts20253035404550556065[[#Totals],[Monthly Payment]]</f>
        <v>0</v>
      </c>
    </row>
    <row r="35" spans="2:3" x14ac:dyDescent="0.2">
      <c r="B35" s="63" t="s">
        <v>135</v>
      </c>
      <c r="C35" s="66">
        <f>Budget22273237424752576267[Amount]</f>
        <v>0</v>
      </c>
    </row>
    <row r="36" spans="2:3" x14ac:dyDescent="0.2">
      <c r="B36" s="63"/>
      <c r="C36" s="66"/>
    </row>
    <row r="37" spans="2:3" ht="12.95" customHeight="1" x14ac:dyDescent="0.2">
      <c r="B37" s="63" t="s">
        <v>134</v>
      </c>
      <c r="C37" s="66">
        <f>C35-C34</f>
        <v>0</v>
      </c>
    </row>
    <row r="40" spans="2:3" ht="12.95" customHeight="1" x14ac:dyDescent="0.35">
      <c r="C40" s="65"/>
    </row>
    <row r="67" spans="2:6" s="58" customFormat="1" ht="19.5" x14ac:dyDescent="0.25">
      <c r="B67" s="64" t="s">
        <v>133</v>
      </c>
    </row>
    <row r="68" spans="2:6" s="58" customFormat="1" x14ac:dyDescent="0.2">
      <c r="B68" s="58" t="s">
        <v>161</v>
      </c>
    </row>
    <row r="69" spans="2:6" x14ac:dyDescent="0.2">
      <c r="C69" s="56"/>
      <c r="D69" s="56"/>
    </row>
    <row r="70" spans="2:6" x14ac:dyDescent="0.2">
      <c r="B70" s="63" t="s">
        <v>132</v>
      </c>
      <c r="C70" s="56"/>
      <c r="D70" s="56"/>
    </row>
    <row r="71" spans="2:6" ht="5.0999999999999996" customHeight="1" x14ac:dyDescent="0.2">
      <c r="C71" s="56"/>
      <c r="D71" s="56"/>
    </row>
    <row r="72" spans="2:6" x14ac:dyDescent="0.2">
      <c r="B72" s="61" t="s">
        <v>130</v>
      </c>
      <c r="C72" s="59" t="s">
        <v>129</v>
      </c>
      <c r="D72" s="60" t="s">
        <v>128</v>
      </c>
      <c r="E72" s="59" t="s">
        <v>127</v>
      </c>
      <c r="F72" s="59" t="s">
        <v>126</v>
      </c>
    </row>
    <row r="73" spans="2:6" x14ac:dyDescent="0.2">
      <c r="B73" s="61" t="str">
        <f>INDEX(Debts20253035404550556065[[Creditor]:[Monthly Payment]], MATCH(MAX(Debts20253035404550556065[Interest Rate]),Debts20253035404550556065[Interest Rate], 0), 1)</f>
        <v>Paypal Credit Card</v>
      </c>
      <c r="C73" s="59">
        <f>INDEX(Debts20253035404550556065[[Creditor]:[Monthly Payment]], MATCH(MAX(Debts20253035404550556065[Interest Rate]),Debts20253035404550556065[Interest Rate], 0), 2)</f>
        <v>0</v>
      </c>
      <c r="D73" s="60">
        <f>INDEX(Debts20253035404550556065[[Creditor]:[Monthly Payment]], MATCH(MAX(Debts20253035404550556065[Interest Rate]),Debts20253035404550556065[Interest Rate], 0), 3)</f>
        <v>0</v>
      </c>
      <c r="E73" s="59">
        <f>INDEX(Debts20253035404550556065[[Creditor]:[Monthly Payment]], MATCH(MAX(Debts20253035404550556065[Interest Rate]),Debts20253035404550556065[Interest Rate], 0), 4)</f>
        <v>0</v>
      </c>
      <c r="F73" s="59">
        <f>INDEX(Debts20253035404550556065[[Creditor]:[Monthly Payment]], MATCH(MAX(Debts20253035404550556065[Interest Rate]),Debts20253035404550556065[Interest Rate], 0), 4) + $C$37</f>
        <v>0</v>
      </c>
    </row>
    <row r="74" spans="2:6" x14ac:dyDescent="0.2">
      <c r="B74" s="61"/>
      <c r="C74" s="59"/>
      <c r="D74" s="60"/>
      <c r="E74" s="59"/>
      <c r="F74" s="59"/>
    </row>
    <row r="75" spans="2:6" x14ac:dyDescent="0.2">
      <c r="B75" s="63" t="s">
        <v>131</v>
      </c>
      <c r="C75" s="62"/>
      <c r="D75" s="62"/>
      <c r="E75" s="59"/>
      <c r="F75" s="60"/>
    </row>
    <row r="76" spans="2:6" ht="5.0999999999999996" customHeight="1" x14ac:dyDescent="0.2">
      <c r="C76" s="62"/>
      <c r="D76" s="62"/>
      <c r="E76" s="59"/>
      <c r="F76" s="60"/>
    </row>
    <row r="77" spans="2:6" x14ac:dyDescent="0.2">
      <c r="B77" s="61" t="s">
        <v>130</v>
      </c>
      <c r="C77" s="59" t="s">
        <v>129</v>
      </c>
      <c r="D77" s="60" t="s">
        <v>128</v>
      </c>
      <c r="E77" s="59" t="s">
        <v>127</v>
      </c>
      <c r="F77" s="59" t="s">
        <v>126</v>
      </c>
    </row>
    <row r="78" spans="2:6" x14ac:dyDescent="0.2">
      <c r="B78" s="61" t="str">
        <f>INDEX(Debts20253035404550556065[[Creditor]:[Monthly Payment]], MATCH(MIN(Debts20253035404550556065[Balance]),Debts20253035404550556065[Balance], 0), 1)</f>
        <v>Paypal Credit Card</v>
      </c>
      <c r="C78" s="59">
        <f>INDEX(Debts20253035404550556065[[Creditor]:[Monthly Payment]], MATCH(MIN(Debts20253035404550556065[Balance]),Debts20253035404550556065[Balance], 0), 2)</f>
        <v>0</v>
      </c>
      <c r="D78" s="60">
        <f>INDEX(Debts20253035404550556065[[Creditor]:[Monthly Payment]], MATCH(MIN(Debts20253035404550556065[Balance]),Debts20253035404550556065[Balance], 0), 3)</f>
        <v>0</v>
      </c>
      <c r="E78" s="59">
        <f>INDEX(Debts20253035404550556065[[Creditor]:[Monthly Payment]], MATCH(MIN(Debts20253035404550556065[Balance]),Debts20253035404550556065[Balance], 0), 4)</f>
        <v>0</v>
      </c>
      <c r="F78" s="59">
        <f>INDEX(Debts20253035404550556065[[Creditor]:[Monthly Payment]], MATCH(MIN(Debts20253035404550556065[Balance]),Debts20253035404550556065[Balance], 0), 4) + $C$37</f>
        <v>0</v>
      </c>
    </row>
    <row r="82" spans="2:3" x14ac:dyDescent="0.2">
      <c r="B82" s="63" t="s">
        <v>163</v>
      </c>
      <c r="C82" s="66"/>
    </row>
    <row r="83" spans="2:3" x14ac:dyDescent="0.2">
      <c r="B83" s="63"/>
      <c r="C83" s="66"/>
    </row>
    <row r="84" spans="2:3" x14ac:dyDescent="0.2">
      <c r="B84" s="63" t="s">
        <v>162</v>
      </c>
      <c r="C84" s="66"/>
    </row>
  </sheetData>
  <conditionalFormatting sqref="C37">
    <cfRule type="cellIs" dxfId="124" priority="1" operator="lessThan">
      <formula>0</formula>
    </cfRule>
  </conditionalFormatting>
  <pageMargins left="0.7" right="0.7" top="0.75" bottom="0.75" header="0.5" footer="0.5"/>
  <pageSetup orientation="landscape" horizontalDpi="4294967292" verticalDpi="4294967292"/>
  <drawing r:id="rId1"/>
  <tableParts count="5">
    <tablePart r:id="rId2"/>
    <tablePart r:id="rId3"/>
    <tablePart r:id="rId4"/>
    <tablePart r:id="rId5"/>
    <tablePart r:id="rId6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B3CDD-34B2-4C52-A718-079388E5B3D8}">
  <dimension ref="B1:Q84"/>
  <sheetViews>
    <sheetView showGridLines="0" workbookViewId="0">
      <selection activeCell="J1" sqref="J1"/>
    </sheetView>
  </sheetViews>
  <sheetFormatPr defaultColWidth="10.625" defaultRowHeight="12.75" x14ac:dyDescent="0.2"/>
  <cols>
    <col min="1" max="1" width="6" style="56" customWidth="1"/>
    <col min="2" max="2" width="34.125" style="56" customWidth="1"/>
    <col min="3" max="3" width="15.875" style="58" customWidth="1"/>
    <col min="4" max="4" width="16.125" style="57" customWidth="1"/>
    <col min="5" max="5" width="21.875" style="58" customWidth="1"/>
    <col min="6" max="6" width="16.625" style="57" customWidth="1"/>
    <col min="7" max="7" width="10.25" style="56" customWidth="1"/>
    <col min="8" max="16384" width="10.625" style="56"/>
  </cols>
  <sheetData>
    <row r="1" spans="2:17" s="58" customFormat="1" ht="36" x14ac:dyDescent="0.5">
      <c r="B1" s="73" t="s">
        <v>160</v>
      </c>
      <c r="F1" s="121" t="s">
        <v>100</v>
      </c>
      <c r="H1" s="72"/>
    </row>
    <row r="3" spans="2:17" s="58" customFormat="1" ht="19.5" x14ac:dyDescent="0.25">
      <c r="B3" s="64" t="s">
        <v>154</v>
      </c>
    </row>
    <row r="4" spans="2:17" s="58" customFormat="1" x14ac:dyDescent="0.2">
      <c r="B4" s="58" t="s">
        <v>153</v>
      </c>
    </row>
    <row r="5" spans="2:17" s="58" customFormat="1" x14ac:dyDescent="0.2">
      <c r="B5" s="58" t="s">
        <v>152</v>
      </c>
    </row>
    <row r="6" spans="2:17" x14ac:dyDescent="0.2">
      <c r="H6" s="83" t="s">
        <v>159</v>
      </c>
      <c r="I6" s="83"/>
      <c r="J6" s="83"/>
      <c r="K6" s="83"/>
      <c r="L6" s="83"/>
      <c r="M6" s="83"/>
      <c r="N6" s="83"/>
      <c r="O6" s="83"/>
      <c r="P6" s="83"/>
      <c r="Q6" s="83"/>
    </row>
    <row r="7" spans="2:17" ht="12.75" customHeight="1" x14ac:dyDescent="0.2">
      <c r="B7" s="63" t="s">
        <v>130</v>
      </c>
      <c r="C7" s="71" t="s">
        <v>129</v>
      </c>
      <c r="D7" s="70" t="s">
        <v>128</v>
      </c>
      <c r="E7" s="71" t="s">
        <v>127</v>
      </c>
      <c r="F7" s="70" t="s">
        <v>151</v>
      </c>
      <c r="H7" s="120" t="s">
        <v>171</v>
      </c>
      <c r="I7" s="119"/>
      <c r="J7" s="83"/>
      <c r="K7" s="83"/>
      <c r="L7" s="83"/>
      <c r="M7" s="83"/>
      <c r="N7" s="83"/>
      <c r="O7" s="83"/>
      <c r="P7" s="83"/>
      <c r="Q7" s="83"/>
    </row>
    <row r="8" spans="2:17" x14ac:dyDescent="0.2">
      <c r="B8" s="56" t="s">
        <v>164</v>
      </c>
      <c r="C8" s="58">
        <v>0</v>
      </c>
      <c r="D8" s="57">
        <v>0.18490000000000001</v>
      </c>
      <c r="E8" s="58">
        <v>0</v>
      </c>
      <c r="F8" s="57" t="str">
        <f>IF(C8&gt;0, C8/SUM($C$8:$C$28), "")</f>
        <v/>
      </c>
      <c r="G8" s="115"/>
      <c r="H8" s="115"/>
    </row>
    <row r="9" spans="2:17" x14ac:dyDescent="0.2">
      <c r="B9" s="74" t="s">
        <v>165</v>
      </c>
      <c r="C9" s="75">
        <v>0</v>
      </c>
      <c r="D9" s="76">
        <v>0.01</v>
      </c>
      <c r="E9" s="75">
        <v>0</v>
      </c>
      <c r="F9" s="76" t="str">
        <f>IF(C9&gt;0, C9/SUM($C$8:$C$28), "")</f>
        <v/>
      </c>
      <c r="G9" s="115"/>
      <c r="H9" s="115"/>
    </row>
    <row r="10" spans="2:17" x14ac:dyDescent="0.2">
      <c r="B10" s="74" t="s">
        <v>166</v>
      </c>
      <c r="C10" s="75">
        <v>0</v>
      </c>
      <c r="D10" s="76">
        <v>0.01</v>
      </c>
      <c r="E10" s="75">
        <v>0</v>
      </c>
      <c r="F10" s="76" t="str">
        <f>IF(C10&gt;0, C10/SUM($C$8:$C$28), "")</f>
        <v/>
      </c>
      <c r="G10" s="115"/>
      <c r="H10" s="115"/>
    </row>
    <row r="11" spans="2:17" x14ac:dyDescent="0.2">
      <c r="B11" s="56" t="s">
        <v>150</v>
      </c>
      <c r="C11" s="58">
        <v>0</v>
      </c>
      <c r="D11" s="57">
        <v>0.01</v>
      </c>
      <c r="E11" s="58">
        <v>0</v>
      </c>
      <c r="F11" s="57" t="str">
        <f>IF(C11&gt;0, C11/SUM($C$8:$C$28), "")</f>
        <v/>
      </c>
      <c r="G11" s="115"/>
      <c r="H11" s="115"/>
    </row>
    <row r="12" spans="2:17" x14ac:dyDescent="0.2">
      <c r="B12" s="56" t="s">
        <v>150</v>
      </c>
      <c r="C12" s="58">
        <v>0</v>
      </c>
      <c r="D12" s="57">
        <v>0.01</v>
      </c>
      <c r="E12" s="58">
        <v>0</v>
      </c>
      <c r="F12" s="57" t="str">
        <f>IF(C12&gt;0, C12/SUM($C$8:$C$28), "")</f>
        <v/>
      </c>
      <c r="G12" s="115"/>
      <c r="H12" s="115"/>
    </row>
    <row r="13" spans="2:17" x14ac:dyDescent="0.2">
      <c r="B13" s="56" t="s">
        <v>149</v>
      </c>
      <c r="C13" s="58">
        <v>0</v>
      </c>
      <c r="D13" s="57">
        <v>0.01</v>
      </c>
      <c r="E13" s="58">
        <v>0</v>
      </c>
      <c r="F13" s="57" t="str">
        <f>IF(C13&gt;0, C13/SUM($C$8:$C$28), "")</f>
        <v/>
      </c>
      <c r="G13" s="115"/>
      <c r="H13" s="115"/>
    </row>
    <row r="14" spans="2:17" x14ac:dyDescent="0.2">
      <c r="B14" s="56" t="s">
        <v>148</v>
      </c>
      <c r="C14" s="58">
        <v>0</v>
      </c>
      <c r="D14" s="57">
        <v>0.01</v>
      </c>
      <c r="E14" s="58">
        <v>0</v>
      </c>
      <c r="F14" s="57" t="str">
        <f>IF(C14&gt;0, C14/SUM($C$8:$C$28), "")</f>
        <v/>
      </c>
      <c r="G14" s="115"/>
      <c r="H14" s="115"/>
    </row>
    <row r="15" spans="2:17" x14ac:dyDescent="0.2">
      <c r="B15" s="56" t="s">
        <v>147</v>
      </c>
      <c r="C15" s="58">
        <v>0</v>
      </c>
      <c r="D15" s="57">
        <v>0.01</v>
      </c>
      <c r="E15" s="58">
        <v>0</v>
      </c>
      <c r="F15" s="57" t="str">
        <f>IF(C15&gt;0, C15/SUM($C$8:$C$28), "")</f>
        <v/>
      </c>
      <c r="G15" s="115"/>
      <c r="H15" s="115"/>
    </row>
    <row r="16" spans="2:17" x14ac:dyDescent="0.2">
      <c r="B16" s="77" t="s">
        <v>55</v>
      </c>
      <c r="C16" s="78">
        <f>SUBTOTAL(109,Debts2025303540455055606570[Balance])</f>
        <v>0</v>
      </c>
      <c r="D16" s="79" t="e">
        <f>SUMPRODUCT(Debts2025303540455055606570[Balance],Debts2025303540455055606570[Interest Rate])/SUM(Debts2025303540455055606570[Balance])</f>
        <v>#DIV/0!</v>
      </c>
      <c r="E16" s="78">
        <f>SUBTOTAL(109,Debts2025303540455055606570[Monthly Payment])</f>
        <v>0</v>
      </c>
      <c r="F16" s="79">
        <f>SUBTOTAL(109,Debts2025303540455055606570[% of Total])</f>
        <v>0</v>
      </c>
    </row>
    <row r="17" spans="2:6" ht="24" customHeight="1" x14ac:dyDescent="0.2"/>
    <row r="18" spans="2:6" s="58" customFormat="1" ht="19.5" x14ac:dyDescent="0.25">
      <c r="B18" s="64" t="s">
        <v>146</v>
      </c>
    </row>
    <row r="19" spans="2:6" s="58" customFormat="1" x14ac:dyDescent="0.2">
      <c r="B19" s="58" t="s">
        <v>167</v>
      </c>
    </row>
    <row r="20" spans="2:6" s="58" customFormat="1" x14ac:dyDescent="0.2">
      <c r="B20" s="58" t="s">
        <v>168</v>
      </c>
    </row>
    <row r="22" spans="2:6" x14ac:dyDescent="0.2">
      <c r="B22" s="69" t="s">
        <v>141</v>
      </c>
      <c r="C22" s="114" t="s">
        <v>140</v>
      </c>
    </row>
    <row r="23" spans="2:6" x14ac:dyDescent="0.2">
      <c r="B23" s="56" t="s">
        <v>145</v>
      </c>
      <c r="C23" s="113">
        <f>'PERSONAL BUDGET'!O109</f>
        <v>0</v>
      </c>
      <c r="E23" s="84"/>
    </row>
    <row r="24" spans="2:6" ht="24" customHeight="1" x14ac:dyDescent="0.2">
      <c r="F24" s="57" t="str">
        <f>IF(C28&gt;0, C28/SUM($C$8:$C$28), "")</f>
        <v/>
      </c>
    </row>
    <row r="25" spans="2:6" s="58" customFormat="1" ht="19.5" x14ac:dyDescent="0.25">
      <c r="B25" s="64" t="s">
        <v>144</v>
      </c>
    </row>
    <row r="26" spans="2:6" s="58" customFormat="1" x14ac:dyDescent="0.2">
      <c r="B26" s="58" t="s">
        <v>143</v>
      </c>
    </row>
    <row r="27" spans="2:6" s="58" customFormat="1" x14ac:dyDescent="0.2">
      <c r="B27" s="58" t="s">
        <v>142</v>
      </c>
    </row>
    <row r="29" spans="2:6" s="63" customFormat="1" x14ac:dyDescent="0.2">
      <c r="B29" s="68" t="s">
        <v>141</v>
      </c>
      <c r="C29" s="59" t="s">
        <v>140</v>
      </c>
      <c r="D29" s="67"/>
      <c r="E29" s="66"/>
      <c r="F29" s="67"/>
    </row>
    <row r="30" spans="2:6" s="63" customFormat="1" x14ac:dyDescent="0.2">
      <c r="B30" s="63" t="s">
        <v>139</v>
      </c>
      <c r="C30" s="84">
        <f>Debts2025303540455055606570[[#Totals],[Balance]]</f>
        <v>0</v>
      </c>
      <c r="D30" s="67"/>
      <c r="E30" s="66"/>
      <c r="F30" s="67"/>
    </row>
    <row r="31" spans="2:6" s="63" customFormat="1" x14ac:dyDescent="0.2">
      <c r="B31" s="63" t="s">
        <v>138</v>
      </c>
      <c r="C31" s="67" t="e">
        <f>Debts2025303540455055606570[[#Totals],[Interest Rate]]</f>
        <v>#DIV/0!</v>
      </c>
      <c r="D31" s="67"/>
      <c r="E31" s="66"/>
      <c r="F31" s="67"/>
    </row>
    <row r="32" spans="2:6" x14ac:dyDescent="0.2">
      <c r="B32" s="63" t="s">
        <v>137</v>
      </c>
      <c r="C32" s="66" t="e">
        <f>C30*C31/12</f>
        <v>#DIV/0!</v>
      </c>
      <c r="D32" s="67"/>
      <c r="E32" s="66"/>
      <c r="F32" s="67"/>
    </row>
    <row r="33" spans="2:3" x14ac:dyDescent="0.2">
      <c r="B33" s="63"/>
      <c r="C33" s="66"/>
    </row>
    <row r="34" spans="2:3" x14ac:dyDescent="0.2">
      <c r="B34" s="63" t="s">
        <v>136</v>
      </c>
      <c r="C34" s="66">
        <f>Debts2025303540455055606570[[#Totals],[Monthly Payment]]</f>
        <v>0</v>
      </c>
    </row>
    <row r="35" spans="2:3" x14ac:dyDescent="0.2">
      <c r="B35" s="63" t="s">
        <v>135</v>
      </c>
      <c r="C35" s="66">
        <f>Budget2227323742475257626772[Amount]</f>
        <v>0</v>
      </c>
    </row>
    <row r="36" spans="2:3" x14ac:dyDescent="0.2">
      <c r="B36" s="63"/>
      <c r="C36" s="66"/>
    </row>
    <row r="37" spans="2:3" ht="12.95" customHeight="1" x14ac:dyDescent="0.2">
      <c r="B37" s="63" t="s">
        <v>134</v>
      </c>
      <c r="C37" s="66">
        <f>C35-C34</f>
        <v>0</v>
      </c>
    </row>
    <row r="40" spans="2:3" ht="12.95" customHeight="1" x14ac:dyDescent="0.35">
      <c r="C40" s="65"/>
    </row>
    <row r="67" spans="2:6" s="58" customFormat="1" ht="19.5" x14ac:dyDescent="0.25">
      <c r="B67" s="64" t="s">
        <v>133</v>
      </c>
    </row>
    <row r="68" spans="2:6" s="58" customFormat="1" x14ac:dyDescent="0.2">
      <c r="B68" s="58" t="s">
        <v>161</v>
      </c>
    </row>
    <row r="69" spans="2:6" x14ac:dyDescent="0.2">
      <c r="C69" s="56"/>
      <c r="D69" s="56"/>
    </row>
    <row r="70" spans="2:6" x14ac:dyDescent="0.2">
      <c r="B70" s="63" t="s">
        <v>132</v>
      </c>
      <c r="C70" s="56"/>
      <c r="D70" s="56"/>
    </row>
    <row r="71" spans="2:6" ht="5.0999999999999996" customHeight="1" x14ac:dyDescent="0.2">
      <c r="C71" s="56"/>
      <c r="D71" s="56"/>
    </row>
    <row r="72" spans="2:6" x14ac:dyDescent="0.2">
      <c r="B72" s="61" t="s">
        <v>130</v>
      </c>
      <c r="C72" s="59" t="s">
        <v>129</v>
      </c>
      <c r="D72" s="60" t="s">
        <v>128</v>
      </c>
      <c r="E72" s="59" t="s">
        <v>127</v>
      </c>
      <c r="F72" s="59" t="s">
        <v>126</v>
      </c>
    </row>
    <row r="73" spans="2:6" x14ac:dyDescent="0.2">
      <c r="B73" s="61" t="str">
        <f>INDEX(Debts2025303540455055606570[[Creditor]:[Monthly Payment]], MATCH(MAX(Debts2025303540455055606570[Interest Rate]),Debts2025303540455055606570[Interest Rate], 0), 1)</f>
        <v>Paypal Credit Card</v>
      </c>
      <c r="C73" s="59">
        <f>INDEX(Debts2025303540455055606570[[Creditor]:[Monthly Payment]], MATCH(MAX(Debts2025303540455055606570[Interest Rate]),Debts2025303540455055606570[Interest Rate], 0), 2)</f>
        <v>0</v>
      </c>
      <c r="D73" s="60">
        <f>INDEX(Debts2025303540455055606570[[Creditor]:[Monthly Payment]], MATCH(MAX(Debts2025303540455055606570[Interest Rate]),Debts2025303540455055606570[Interest Rate], 0), 3)</f>
        <v>0.18490000000000001</v>
      </c>
      <c r="E73" s="59">
        <f>INDEX(Debts2025303540455055606570[[Creditor]:[Monthly Payment]], MATCH(MAX(Debts2025303540455055606570[Interest Rate]),Debts2025303540455055606570[Interest Rate], 0), 4)</f>
        <v>0</v>
      </c>
      <c r="F73" s="59">
        <f>INDEX(Debts2025303540455055606570[[Creditor]:[Monthly Payment]], MATCH(MAX(Debts2025303540455055606570[Interest Rate]),Debts2025303540455055606570[Interest Rate], 0), 4) + $C$37</f>
        <v>0</v>
      </c>
    </row>
    <row r="74" spans="2:6" x14ac:dyDescent="0.2">
      <c r="B74" s="61"/>
      <c r="C74" s="59"/>
      <c r="D74" s="60"/>
      <c r="E74" s="59"/>
      <c r="F74" s="59"/>
    </row>
    <row r="75" spans="2:6" x14ac:dyDescent="0.2">
      <c r="B75" s="63" t="s">
        <v>131</v>
      </c>
      <c r="C75" s="62"/>
      <c r="D75" s="62"/>
      <c r="E75" s="59"/>
      <c r="F75" s="60"/>
    </row>
    <row r="76" spans="2:6" ht="5.0999999999999996" customHeight="1" x14ac:dyDescent="0.2">
      <c r="C76" s="62"/>
      <c r="D76" s="62"/>
      <c r="E76" s="59"/>
      <c r="F76" s="60"/>
    </row>
    <row r="77" spans="2:6" x14ac:dyDescent="0.2">
      <c r="B77" s="61" t="s">
        <v>130</v>
      </c>
      <c r="C77" s="59" t="s">
        <v>129</v>
      </c>
      <c r="D77" s="60" t="s">
        <v>128</v>
      </c>
      <c r="E77" s="59" t="s">
        <v>127</v>
      </c>
      <c r="F77" s="59" t="s">
        <v>126</v>
      </c>
    </row>
    <row r="78" spans="2:6" x14ac:dyDescent="0.2">
      <c r="B78" s="61" t="str">
        <f>INDEX(Debts2025303540455055606570[[Creditor]:[Monthly Payment]], MATCH(MIN(Debts2025303540455055606570[Balance]),Debts2025303540455055606570[Balance], 0), 1)</f>
        <v>Paypal Credit Card</v>
      </c>
      <c r="C78" s="59">
        <f>INDEX(Debts2025303540455055606570[[Creditor]:[Monthly Payment]], MATCH(MIN(Debts2025303540455055606570[Balance]),Debts2025303540455055606570[Balance], 0), 2)</f>
        <v>0</v>
      </c>
      <c r="D78" s="60">
        <f>INDEX(Debts2025303540455055606570[[Creditor]:[Monthly Payment]], MATCH(MIN(Debts2025303540455055606570[Balance]),Debts2025303540455055606570[Balance], 0), 3)</f>
        <v>0.18490000000000001</v>
      </c>
      <c r="E78" s="59">
        <f>INDEX(Debts2025303540455055606570[[Creditor]:[Monthly Payment]], MATCH(MIN(Debts2025303540455055606570[Balance]),Debts2025303540455055606570[Balance], 0), 4)</f>
        <v>0</v>
      </c>
      <c r="F78" s="59">
        <f>INDEX(Debts2025303540455055606570[[Creditor]:[Monthly Payment]], MATCH(MIN(Debts2025303540455055606570[Balance]),Debts2025303540455055606570[Balance], 0), 4) + $C$37</f>
        <v>0</v>
      </c>
    </row>
    <row r="82" spans="2:3" x14ac:dyDescent="0.2">
      <c r="B82" s="63" t="s">
        <v>163</v>
      </c>
      <c r="C82" s="66"/>
    </row>
    <row r="83" spans="2:3" x14ac:dyDescent="0.2">
      <c r="B83" s="63"/>
      <c r="C83" s="66"/>
    </row>
    <row r="84" spans="2:3" x14ac:dyDescent="0.2">
      <c r="B84" s="63" t="s">
        <v>162</v>
      </c>
      <c r="C84" s="66"/>
    </row>
  </sheetData>
  <conditionalFormatting sqref="C37">
    <cfRule type="cellIs" dxfId="99" priority="1" operator="lessThan">
      <formula>0</formula>
    </cfRule>
  </conditionalFormatting>
  <pageMargins left="0.7" right="0.7" top="0.75" bottom="0.75" header="0.5" footer="0.5"/>
  <pageSetup orientation="landscape" horizontalDpi="4294967292" verticalDpi="4294967292"/>
  <drawing r:id="rId1"/>
  <tableParts count="5"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A1:W114"/>
  <sheetViews>
    <sheetView showGridLines="0" tabSelected="1" zoomScale="85" zoomScaleNormal="85" workbookViewId="0">
      <selection activeCell="U92" sqref="U92"/>
    </sheetView>
  </sheetViews>
  <sheetFormatPr defaultRowHeight="30" customHeight="1" x14ac:dyDescent="0.2"/>
  <cols>
    <col min="1" max="1" width="4.75" style="48" customWidth="1"/>
    <col min="2" max="2" width="1.875" customWidth="1"/>
    <col min="3" max="3" width="30.625" customWidth="1"/>
    <col min="4" max="16" width="12.375" style="1" customWidth="1"/>
    <col min="17" max="17" width="12.375" customWidth="1"/>
    <col min="18" max="18" width="2.625" customWidth="1"/>
  </cols>
  <sheetData>
    <row r="1" spans="1:18" ht="12.75" customHeight="1" x14ac:dyDescent="0.2">
      <c r="A1" s="48" t="s">
        <v>108</v>
      </c>
    </row>
    <row r="2" spans="1:18" ht="35.25" customHeight="1" thickBot="1" x14ac:dyDescent="0.75">
      <c r="A2" s="49" t="s">
        <v>109</v>
      </c>
      <c r="B2" s="52" t="s">
        <v>93</v>
      </c>
      <c r="C2" s="52"/>
      <c r="D2" s="52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47">
        <f ca="1">YEAR(TODAY())</f>
        <v>2022</v>
      </c>
    </row>
    <row r="3" spans="1:18" ht="26.25" customHeight="1" x14ac:dyDescent="0.2">
      <c r="E3" s="35"/>
    </row>
    <row r="4" spans="1:18" ht="21" customHeight="1" x14ac:dyDescent="0.2">
      <c r="A4" s="48" t="s">
        <v>110</v>
      </c>
      <c r="B4" s="23"/>
      <c r="C4" s="9" t="s">
        <v>83</v>
      </c>
      <c r="D4" s="101" t="s">
        <v>70</v>
      </c>
      <c r="E4" s="101" t="s">
        <v>71</v>
      </c>
      <c r="F4" s="101" t="s">
        <v>73</v>
      </c>
      <c r="G4" s="101" t="s">
        <v>74</v>
      </c>
      <c r="H4" s="101" t="s">
        <v>72</v>
      </c>
      <c r="I4" s="101" t="s">
        <v>75</v>
      </c>
      <c r="J4" s="101" t="s">
        <v>76</v>
      </c>
      <c r="K4" s="101" t="s">
        <v>77</v>
      </c>
      <c r="L4" s="101" t="s">
        <v>78</v>
      </c>
      <c r="M4" s="101" t="s">
        <v>79</v>
      </c>
      <c r="N4" s="101" t="s">
        <v>80</v>
      </c>
      <c r="O4" s="101" t="s">
        <v>81</v>
      </c>
      <c r="P4" s="101" t="s">
        <v>82</v>
      </c>
      <c r="Q4" s="10"/>
    </row>
    <row r="5" spans="1:18" ht="15.95" customHeight="1" x14ac:dyDescent="0.2">
      <c r="A5" s="49" t="s">
        <v>111</v>
      </c>
      <c r="B5" s="23"/>
      <c r="C5" s="11" t="s">
        <v>56</v>
      </c>
      <c r="D5" s="38" t="s">
        <v>157</v>
      </c>
      <c r="E5" s="38" t="s">
        <v>95</v>
      </c>
      <c r="F5" s="38" t="s">
        <v>87</v>
      </c>
      <c r="G5" s="38" t="s">
        <v>88</v>
      </c>
      <c r="H5" s="38" t="s">
        <v>89</v>
      </c>
      <c r="I5" s="38" t="s">
        <v>90</v>
      </c>
      <c r="J5" s="38" t="s">
        <v>91</v>
      </c>
      <c r="K5" s="38" t="s">
        <v>96</v>
      </c>
      <c r="L5" s="38" t="s">
        <v>97</v>
      </c>
      <c r="M5" s="38" t="s">
        <v>98</v>
      </c>
      <c r="N5" s="38" t="s">
        <v>99</v>
      </c>
      <c r="O5" s="38" t="s">
        <v>100</v>
      </c>
      <c r="P5" s="38" t="s">
        <v>92</v>
      </c>
      <c r="Q5" s="38" t="s">
        <v>101</v>
      </c>
    </row>
    <row r="6" spans="1:18" ht="15.95" customHeight="1" x14ac:dyDescent="0.2">
      <c r="B6" s="23"/>
      <c r="C6" s="7" t="s">
        <v>0</v>
      </c>
      <c r="D6" s="102">
        <v>0</v>
      </c>
      <c r="E6" s="102">
        <v>0</v>
      </c>
      <c r="F6" s="102">
        <v>0</v>
      </c>
      <c r="G6" s="102">
        <v>0</v>
      </c>
      <c r="H6" s="102">
        <v>0</v>
      </c>
      <c r="I6" s="102">
        <v>0</v>
      </c>
      <c r="J6" s="102">
        <v>0</v>
      </c>
      <c r="K6" s="102">
        <v>0</v>
      </c>
      <c r="L6" s="102">
        <v>0</v>
      </c>
      <c r="M6" s="102">
        <v>0</v>
      </c>
      <c r="N6" s="102">
        <v>0</v>
      </c>
      <c r="O6" s="102">
        <v>0</v>
      </c>
      <c r="P6" s="102">
        <f>SUM(Income[[#This Row],[Column1]:[December]])</f>
        <v>0</v>
      </c>
      <c r="Q6" s="3"/>
    </row>
    <row r="7" spans="1:18" ht="15.95" customHeight="1" x14ac:dyDescent="0.2">
      <c r="B7" s="23"/>
      <c r="C7" s="7" t="s">
        <v>86</v>
      </c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>
        <f>SUM(Income[[#This Row],[Column1]:[December]])</f>
        <v>0</v>
      </c>
      <c r="Q7" s="13"/>
    </row>
    <row r="8" spans="1:18" ht="15.95" customHeight="1" x14ac:dyDescent="0.2">
      <c r="B8" s="23"/>
      <c r="C8" s="7" t="s">
        <v>1</v>
      </c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>
        <f>SUM(Income[[#This Row],[Column1]:[December]])</f>
        <v>0</v>
      </c>
      <c r="Q8" s="3"/>
    </row>
    <row r="9" spans="1:18" ht="21" customHeight="1" thickBot="1" x14ac:dyDescent="0.25">
      <c r="B9" s="23"/>
      <c r="C9" s="36" t="s">
        <v>55</v>
      </c>
      <c r="D9" s="103">
        <f>SUBTOTAL(109,Income[Column1])</f>
        <v>0</v>
      </c>
      <c r="E9" s="103">
        <f>SUBTOTAL(109,Income[February])</f>
        <v>0</v>
      </c>
      <c r="F9" s="103">
        <f>SUBTOTAL(109,Income[March])</f>
        <v>0</v>
      </c>
      <c r="G9" s="103">
        <f>SUBTOTAL(109,Income[April])</f>
        <v>0</v>
      </c>
      <c r="H9" s="103">
        <f>SUBTOTAL(109,Income[May])</f>
        <v>0</v>
      </c>
      <c r="I9" s="103">
        <f>SUBTOTAL(109,Income[June])</f>
        <v>0</v>
      </c>
      <c r="J9" s="103">
        <f>SUBTOTAL(109,Income[July])</f>
        <v>0</v>
      </c>
      <c r="K9" s="103">
        <f>SUBTOTAL(109,Income[August])</f>
        <v>0</v>
      </c>
      <c r="L9" s="103">
        <f>SUBTOTAL(109,Income[September])</f>
        <v>0</v>
      </c>
      <c r="M9" s="103">
        <f>SUBTOTAL(109,Income[October])</f>
        <v>0</v>
      </c>
      <c r="N9" s="103">
        <f>SUBTOTAL(109,Income[November])</f>
        <v>0</v>
      </c>
      <c r="O9" s="103">
        <f>SUBTOTAL(109,Income[December])</f>
        <v>0</v>
      </c>
      <c r="P9" s="103">
        <f>SUBTOTAL(109,Income[Year])</f>
        <v>0</v>
      </c>
      <c r="Q9" s="37"/>
    </row>
    <row r="10" spans="1:18" ht="24" customHeight="1" thickTop="1" x14ac:dyDescent="0.2">
      <c r="D10"/>
      <c r="E10"/>
      <c r="F10"/>
      <c r="G10"/>
      <c r="H10"/>
      <c r="I10"/>
      <c r="J10"/>
      <c r="K10"/>
      <c r="L10"/>
      <c r="M10"/>
      <c r="N10"/>
      <c r="O10"/>
      <c r="P10"/>
    </row>
    <row r="11" spans="1:18" ht="21" customHeight="1" x14ac:dyDescent="0.2">
      <c r="A11" s="48" t="s">
        <v>112</v>
      </c>
      <c r="B11" s="24"/>
      <c r="C11" s="9" t="s">
        <v>57</v>
      </c>
      <c r="D11" s="101" t="s">
        <v>70</v>
      </c>
      <c r="E11" s="101" t="s">
        <v>71</v>
      </c>
      <c r="F11" s="101" t="s">
        <v>73</v>
      </c>
      <c r="G11" s="101" t="s">
        <v>74</v>
      </c>
      <c r="H11" s="101" t="s">
        <v>72</v>
      </c>
      <c r="I11" s="101" t="s">
        <v>75</v>
      </c>
      <c r="J11" s="101" t="s">
        <v>76</v>
      </c>
      <c r="K11" s="101" t="s">
        <v>77</v>
      </c>
      <c r="L11" s="101" t="s">
        <v>78</v>
      </c>
      <c r="M11" s="101" t="s">
        <v>79</v>
      </c>
      <c r="N11" s="101" t="s">
        <v>80</v>
      </c>
      <c r="O11" s="101" t="s">
        <v>81</v>
      </c>
      <c r="P11" s="101" t="s">
        <v>82</v>
      </c>
      <c r="Q11" s="10"/>
    </row>
    <row r="12" spans="1:18" ht="15.95" customHeight="1" x14ac:dyDescent="0.2">
      <c r="A12" s="48" t="s">
        <v>113</v>
      </c>
      <c r="B12" s="24"/>
      <c r="C12" s="14" t="s">
        <v>58</v>
      </c>
      <c r="D12" s="38" t="s">
        <v>94</v>
      </c>
      <c r="E12" s="38" t="s">
        <v>95</v>
      </c>
      <c r="F12" s="38" t="s">
        <v>87</v>
      </c>
      <c r="G12" s="38" t="s">
        <v>88</v>
      </c>
      <c r="H12" s="38" t="s">
        <v>89</v>
      </c>
      <c r="I12" s="38" t="s">
        <v>90</v>
      </c>
      <c r="J12" s="38" t="s">
        <v>91</v>
      </c>
      <c r="K12" s="38" t="s">
        <v>96</v>
      </c>
      <c r="L12" s="38" t="s">
        <v>97</v>
      </c>
      <c r="M12" s="38" t="s">
        <v>98</v>
      </c>
      <c r="N12" s="38" t="s">
        <v>99</v>
      </c>
      <c r="O12" s="38" t="s">
        <v>100</v>
      </c>
      <c r="P12" s="38" t="s">
        <v>92</v>
      </c>
      <c r="Q12" s="38" t="s">
        <v>101</v>
      </c>
    </row>
    <row r="13" spans="1:18" ht="15.95" customHeight="1" x14ac:dyDescent="0.2">
      <c r="B13" s="24"/>
      <c r="C13" s="6" t="s">
        <v>84</v>
      </c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5">
        <f>SUM(Home[[#This Row],[January]:[December]])</f>
        <v>0</v>
      </c>
      <c r="Q13" s="4"/>
    </row>
    <row r="14" spans="1:18" ht="15.95" customHeight="1" x14ac:dyDescent="0.2">
      <c r="B14" s="24"/>
      <c r="C14" s="6" t="s">
        <v>10</v>
      </c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5">
        <f>SUM(Home[[#This Row],[January]:[December]])</f>
        <v>0</v>
      </c>
      <c r="Q14" s="15"/>
    </row>
    <row r="15" spans="1:18" ht="15.95" customHeight="1" x14ac:dyDescent="0.2">
      <c r="B15" s="24"/>
      <c r="C15" s="6" t="s">
        <v>11</v>
      </c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5">
        <f>SUM(Home[[#This Row],[January]:[December]])</f>
        <v>0</v>
      </c>
      <c r="Q15" s="4"/>
    </row>
    <row r="16" spans="1:18" ht="15.95" customHeight="1" x14ac:dyDescent="0.2">
      <c r="B16" s="24"/>
      <c r="C16" s="6" t="s">
        <v>85</v>
      </c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5">
        <f>SUM(Home[[#This Row],[January]:[December]])</f>
        <v>0</v>
      </c>
      <c r="Q16" s="15"/>
      <c r="R16" s="8"/>
    </row>
    <row r="17" spans="1:21" ht="15.95" customHeight="1" x14ac:dyDescent="0.2">
      <c r="B17" s="24"/>
      <c r="C17" s="6" t="s">
        <v>2</v>
      </c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5">
        <f>SUM(Home[[#This Row],[January]:[December]])</f>
        <v>0</v>
      </c>
      <c r="Q17" s="4"/>
      <c r="U17" s="88"/>
    </row>
    <row r="18" spans="1:21" ht="21" customHeight="1" thickBot="1" x14ac:dyDescent="0.25">
      <c r="A18" s="50"/>
      <c r="B18" s="24"/>
      <c r="C18" s="40" t="s">
        <v>55</v>
      </c>
      <c r="D18" s="112">
        <f>SUBTOTAL(109,Home[January])</f>
        <v>0</v>
      </c>
      <c r="E18" s="112">
        <f>SUBTOTAL(109,Home[February])</f>
        <v>0</v>
      </c>
      <c r="F18" s="112">
        <f>SUBTOTAL(109,Home[March])</f>
        <v>0</v>
      </c>
      <c r="G18" s="112">
        <f>SUBTOTAL(109,Home[April])</f>
        <v>0</v>
      </c>
      <c r="H18" s="112">
        <f>SUBTOTAL(109,Home[May])</f>
        <v>0</v>
      </c>
      <c r="I18" s="112">
        <f>SUBTOTAL(109,Home[June])</f>
        <v>0</v>
      </c>
      <c r="J18" s="112">
        <f>SUBTOTAL(109,Home[July])</f>
        <v>0</v>
      </c>
      <c r="K18" s="112">
        <f>SUBTOTAL(109,Home[August])</f>
        <v>0</v>
      </c>
      <c r="L18" s="112">
        <f>SUBTOTAL(109,Home[September])</f>
        <v>0</v>
      </c>
      <c r="M18" s="112">
        <f>SUBTOTAL(109,Home[October])</f>
        <v>0</v>
      </c>
      <c r="N18" s="112">
        <f>SUBTOTAL(109,Home[November])</f>
        <v>0</v>
      </c>
      <c r="O18" s="112">
        <f>SUBTOTAL(109,Home[December])</f>
        <v>0</v>
      </c>
      <c r="P18" s="112">
        <f>SUBTOTAL(109,Home[Year])</f>
        <v>0</v>
      </c>
      <c r="Q18" s="41"/>
    </row>
    <row r="19" spans="1:21" ht="24" customHeight="1" thickTop="1" x14ac:dyDescent="0.2">
      <c r="D19"/>
      <c r="E19"/>
      <c r="F19"/>
      <c r="G19"/>
      <c r="H19"/>
      <c r="I19"/>
      <c r="J19"/>
      <c r="K19"/>
      <c r="L19"/>
      <c r="M19"/>
      <c r="N19"/>
      <c r="O19"/>
      <c r="P19"/>
    </row>
    <row r="20" spans="1:21" ht="15.95" customHeight="1" x14ac:dyDescent="0.2">
      <c r="A20" s="48" t="s">
        <v>114</v>
      </c>
      <c r="B20" s="30"/>
      <c r="C20" s="32" t="s">
        <v>60</v>
      </c>
      <c r="D20" s="87" t="s">
        <v>94</v>
      </c>
      <c r="E20" s="89" t="s">
        <v>95</v>
      </c>
      <c r="F20" s="87" t="s">
        <v>87</v>
      </c>
      <c r="G20" s="89" t="s">
        <v>88</v>
      </c>
      <c r="H20" s="87" t="s">
        <v>89</v>
      </c>
      <c r="I20" s="89" t="s">
        <v>90</v>
      </c>
      <c r="J20" s="87" t="s">
        <v>91</v>
      </c>
      <c r="K20" s="89" t="s">
        <v>96</v>
      </c>
      <c r="L20" s="87" t="s">
        <v>97</v>
      </c>
      <c r="M20" s="89" t="s">
        <v>98</v>
      </c>
      <c r="N20" s="87" t="s">
        <v>99</v>
      </c>
      <c r="O20" s="89" t="s">
        <v>100</v>
      </c>
      <c r="P20" s="87" t="s">
        <v>92</v>
      </c>
      <c r="Q20" s="38" t="s">
        <v>101</v>
      </c>
    </row>
    <row r="21" spans="1:21" ht="15.95" customHeight="1" x14ac:dyDescent="0.2">
      <c r="B21" s="30"/>
      <c r="C21" s="18" t="s">
        <v>3</v>
      </c>
      <c r="D21" s="106"/>
      <c r="E21" s="107"/>
      <c r="F21" s="106"/>
      <c r="G21" s="107"/>
      <c r="H21" s="106"/>
      <c r="I21" s="107"/>
      <c r="J21" s="106"/>
      <c r="K21" s="107"/>
      <c r="L21" s="106"/>
      <c r="M21" s="107"/>
      <c r="N21" s="106"/>
      <c r="O21" s="107"/>
      <c r="P21" s="106">
        <f>SUM(Daily[[#This Row],[January]:[December]])</f>
        <v>0</v>
      </c>
      <c r="Q21" s="12"/>
    </row>
    <row r="22" spans="1:21" ht="15.95" customHeight="1" x14ac:dyDescent="0.2">
      <c r="B22" s="30"/>
      <c r="C22" s="18" t="s">
        <v>4</v>
      </c>
      <c r="D22" s="106"/>
      <c r="E22" s="107"/>
      <c r="F22" s="106"/>
      <c r="G22" s="107"/>
      <c r="H22" s="106"/>
      <c r="I22" s="107"/>
      <c r="J22" s="106"/>
      <c r="K22" s="107"/>
      <c r="L22" s="106"/>
      <c r="M22" s="107"/>
      <c r="N22" s="106"/>
      <c r="O22" s="107"/>
      <c r="P22" s="106">
        <f>SUM(Daily[[#This Row],[January]:[December]])</f>
        <v>0</v>
      </c>
      <c r="Q22" s="19"/>
      <c r="U22" s="55"/>
    </row>
    <row r="23" spans="1:21" ht="15.95" customHeight="1" x14ac:dyDescent="0.2">
      <c r="B23" s="30"/>
      <c r="C23" s="18" t="s">
        <v>5</v>
      </c>
      <c r="D23" s="106"/>
      <c r="E23" s="107"/>
      <c r="F23" s="106"/>
      <c r="G23" s="107"/>
      <c r="H23" s="106"/>
      <c r="I23" s="107"/>
      <c r="J23" s="106"/>
      <c r="K23" s="107"/>
      <c r="L23" s="106"/>
      <c r="M23" s="107"/>
      <c r="N23" s="106"/>
      <c r="O23" s="107"/>
      <c r="P23" s="106">
        <f>SUM(Daily[[#This Row],[January]:[December]])</f>
        <v>0</v>
      </c>
      <c r="Q23" s="12"/>
      <c r="T23" s="88"/>
      <c r="U23" s="88"/>
    </row>
    <row r="24" spans="1:21" ht="15.95" customHeight="1" x14ac:dyDescent="0.2">
      <c r="B24" s="30"/>
      <c r="C24" s="18" t="s">
        <v>6</v>
      </c>
      <c r="D24" s="106"/>
      <c r="E24" s="107"/>
      <c r="F24" s="106"/>
      <c r="G24" s="107"/>
      <c r="H24" s="106"/>
      <c r="I24" s="107"/>
      <c r="J24" s="106"/>
      <c r="K24" s="107"/>
      <c r="L24" s="106"/>
      <c r="M24" s="107"/>
      <c r="N24" s="106"/>
      <c r="O24" s="107"/>
      <c r="P24" s="106">
        <f>SUM(Daily[[#This Row],[January]:[December]])</f>
        <v>0</v>
      </c>
      <c r="Q24" s="19"/>
    </row>
    <row r="25" spans="1:21" ht="15.95" customHeight="1" x14ac:dyDescent="0.2">
      <c r="B25" s="30"/>
      <c r="C25" s="18" t="s">
        <v>7</v>
      </c>
      <c r="D25" s="106"/>
      <c r="E25" s="107"/>
      <c r="F25" s="106"/>
      <c r="G25" s="107"/>
      <c r="H25" s="106"/>
      <c r="I25" s="107"/>
      <c r="J25" s="106"/>
      <c r="K25" s="107"/>
      <c r="L25" s="106"/>
      <c r="M25" s="107"/>
      <c r="N25" s="106"/>
      <c r="O25" s="107"/>
      <c r="P25" s="106">
        <f>SUM(Daily[[#This Row],[January]:[December]])</f>
        <v>0</v>
      </c>
      <c r="Q25" s="12"/>
    </row>
    <row r="26" spans="1:21" ht="19.5" customHeight="1" x14ac:dyDescent="0.2">
      <c r="A26" s="50"/>
      <c r="B26" s="30"/>
      <c r="C26" s="18" t="s">
        <v>8</v>
      </c>
      <c r="D26" s="106"/>
      <c r="E26" s="107"/>
      <c r="F26" s="106"/>
      <c r="G26" s="107"/>
      <c r="H26" s="106"/>
      <c r="I26" s="107"/>
      <c r="J26" s="106"/>
      <c r="K26" s="107"/>
      <c r="L26" s="106"/>
      <c r="M26" s="107"/>
      <c r="N26" s="106"/>
      <c r="O26" s="107"/>
      <c r="P26" s="106">
        <f>SUM(Daily[[#This Row],[January]:[December]])</f>
        <v>0</v>
      </c>
      <c r="Q26" s="19"/>
    </row>
    <row r="27" spans="1:21" ht="21" customHeight="1" thickBot="1" x14ac:dyDescent="0.25">
      <c r="B27" s="30"/>
      <c r="C27" s="42" t="s">
        <v>55</v>
      </c>
      <c r="D27" s="90">
        <f>SUBTOTAL(109,Daily[January])</f>
        <v>0</v>
      </c>
      <c r="E27" s="91">
        <f>SUBTOTAL(109,Daily[February])</f>
        <v>0</v>
      </c>
      <c r="F27" s="90">
        <f>SUBTOTAL(109,Daily[March])</f>
        <v>0</v>
      </c>
      <c r="G27" s="91">
        <f>SUBTOTAL(109,Daily[April])</f>
        <v>0</v>
      </c>
      <c r="H27" s="90">
        <f>SUBTOTAL(109,Daily[May])</f>
        <v>0</v>
      </c>
      <c r="I27" s="91">
        <f>SUBTOTAL(109,Daily[June])</f>
        <v>0</v>
      </c>
      <c r="J27" s="90">
        <f>SUBTOTAL(109,Daily[July])</f>
        <v>0</v>
      </c>
      <c r="K27" s="91">
        <f>SUBTOTAL(109,Daily[August])</f>
        <v>0</v>
      </c>
      <c r="L27" s="90">
        <f>SUBTOTAL(109,Daily[September])</f>
        <v>0</v>
      </c>
      <c r="M27" s="91">
        <f>SUBTOTAL(109,Daily[October])</f>
        <v>0</v>
      </c>
      <c r="N27" s="82">
        <f>SUBTOTAL(109,Daily[November])</f>
        <v>0</v>
      </c>
      <c r="O27" s="91">
        <f>SUBTOTAL(109,Daily[December])</f>
        <v>0</v>
      </c>
      <c r="P27" s="90">
        <f>SUBTOTAL(109,Daily[Year])</f>
        <v>0</v>
      </c>
      <c r="Q27" s="43"/>
    </row>
    <row r="28" spans="1:21" ht="20.100000000000001" customHeight="1" thickTop="1" x14ac:dyDescent="0.2"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</row>
    <row r="29" spans="1:21" ht="15.95" customHeight="1" x14ac:dyDescent="0.2">
      <c r="A29" s="49" t="s">
        <v>115</v>
      </c>
      <c r="B29" s="30"/>
      <c r="C29" s="16" t="s">
        <v>59</v>
      </c>
      <c r="D29" s="86" t="s">
        <v>94</v>
      </c>
      <c r="E29" s="89" t="s">
        <v>95</v>
      </c>
      <c r="F29" s="86" t="s">
        <v>87</v>
      </c>
      <c r="G29" s="89" t="s">
        <v>88</v>
      </c>
      <c r="H29" s="86" t="s">
        <v>89</v>
      </c>
      <c r="I29" s="89" t="s">
        <v>90</v>
      </c>
      <c r="J29" s="86" t="s">
        <v>91</v>
      </c>
      <c r="K29" s="89" t="s">
        <v>96</v>
      </c>
      <c r="L29" s="86" t="s">
        <v>97</v>
      </c>
      <c r="M29" s="89" t="s">
        <v>98</v>
      </c>
      <c r="N29" s="86" t="s">
        <v>99</v>
      </c>
      <c r="O29" s="89" t="s">
        <v>100</v>
      </c>
      <c r="P29" s="86" t="s">
        <v>92</v>
      </c>
      <c r="Q29" s="38" t="s">
        <v>101</v>
      </c>
    </row>
    <row r="30" spans="1:21" ht="15.95" customHeight="1" x14ac:dyDescent="0.2">
      <c r="B30" s="30"/>
      <c r="C30" s="5" t="s">
        <v>9</v>
      </c>
      <c r="D30" s="106"/>
      <c r="E30" s="108"/>
      <c r="F30" s="106"/>
      <c r="G30" s="108"/>
      <c r="H30" s="106"/>
      <c r="I30" s="108"/>
      <c r="J30" s="106"/>
      <c r="K30" s="108"/>
      <c r="L30" s="106"/>
      <c r="M30" s="108"/>
      <c r="N30" s="106"/>
      <c r="O30" s="108"/>
      <c r="P30" s="106">
        <f>SUM(Transportation[[#This Row],[January]:[December]])</f>
        <v>0</v>
      </c>
      <c r="Q30" s="12"/>
    </row>
    <row r="31" spans="1:21" ht="15.95" customHeight="1" x14ac:dyDescent="0.2">
      <c r="B31" s="30"/>
      <c r="C31" s="5" t="s">
        <v>10</v>
      </c>
      <c r="D31" s="106"/>
      <c r="E31" s="108"/>
      <c r="F31" s="106"/>
      <c r="G31" s="108"/>
      <c r="H31" s="106"/>
      <c r="I31" s="108"/>
      <c r="J31" s="106"/>
      <c r="K31" s="108"/>
      <c r="L31" s="106"/>
      <c r="M31" s="108"/>
      <c r="N31" s="106"/>
      <c r="O31" s="108"/>
      <c r="P31" s="106">
        <f>SUM(Transportation[[#This Row],[January]:[December]])</f>
        <v>0</v>
      </c>
      <c r="Q31" s="2"/>
    </row>
    <row r="32" spans="1:21" ht="15.95" customHeight="1" x14ac:dyDescent="0.2">
      <c r="B32" s="30"/>
      <c r="C32" s="5" t="s">
        <v>11</v>
      </c>
      <c r="D32" s="106"/>
      <c r="E32" s="108"/>
      <c r="F32" s="106"/>
      <c r="G32" s="108"/>
      <c r="H32" s="106"/>
      <c r="I32" s="108"/>
      <c r="J32" s="106"/>
      <c r="K32" s="108"/>
      <c r="L32" s="106"/>
      <c r="M32" s="108"/>
      <c r="N32" s="106"/>
      <c r="O32" s="108"/>
      <c r="P32" s="106">
        <f>SUM(Transportation[[#This Row],[January]:[December]])</f>
        <v>0</v>
      </c>
      <c r="Q32" s="12"/>
    </row>
    <row r="33" spans="1:23" ht="15.95" customHeight="1" x14ac:dyDescent="0.2">
      <c r="B33" s="30"/>
      <c r="C33" s="5" t="s">
        <v>12</v>
      </c>
      <c r="D33" s="106"/>
      <c r="E33" s="108"/>
      <c r="F33" s="106"/>
      <c r="G33" s="108"/>
      <c r="H33" s="106"/>
      <c r="I33" s="108"/>
      <c r="J33" s="106"/>
      <c r="K33" s="108"/>
      <c r="L33" s="106"/>
      <c r="M33" s="108"/>
      <c r="N33" s="106"/>
      <c r="O33" s="108"/>
      <c r="P33" s="106">
        <f>SUM(Transportation[[#This Row],[January]:[December]])</f>
        <v>0</v>
      </c>
      <c r="Q33" s="2"/>
    </row>
    <row r="34" spans="1:23" ht="15.95" customHeight="1" x14ac:dyDescent="0.2">
      <c r="A34" s="50"/>
      <c r="B34" s="30"/>
      <c r="C34" s="5" t="s">
        <v>13</v>
      </c>
      <c r="D34" s="106"/>
      <c r="E34" s="108"/>
      <c r="F34" s="106"/>
      <c r="G34" s="108"/>
      <c r="H34" s="106"/>
      <c r="I34" s="108"/>
      <c r="J34" s="106"/>
      <c r="K34" s="108"/>
      <c r="L34" s="106"/>
      <c r="M34" s="108"/>
      <c r="N34" s="106"/>
      <c r="O34" s="108"/>
      <c r="P34" s="106">
        <f>SUM(Transportation[[#This Row],[January]:[December]])</f>
        <v>0</v>
      </c>
      <c r="Q34" s="12"/>
    </row>
    <row r="35" spans="1:23" ht="15.95" customHeight="1" x14ac:dyDescent="0.2">
      <c r="B35" s="30"/>
      <c r="C35" s="5" t="s">
        <v>14</v>
      </c>
      <c r="D35" s="106"/>
      <c r="E35" s="108"/>
      <c r="F35" s="106"/>
      <c r="G35" s="108"/>
      <c r="H35" s="106"/>
      <c r="I35" s="108"/>
      <c r="J35" s="106"/>
      <c r="K35" s="108"/>
      <c r="L35" s="106"/>
      <c r="M35" s="108"/>
      <c r="N35" s="106"/>
      <c r="O35" s="108"/>
      <c r="P35" s="106">
        <f>SUM(Transportation[[#This Row],[January]:[December]])</f>
        <v>0</v>
      </c>
      <c r="Q35" s="2"/>
    </row>
    <row r="36" spans="1:23" ht="21" customHeight="1" thickBot="1" x14ac:dyDescent="0.25">
      <c r="B36" s="30"/>
      <c r="C36" s="42" t="s">
        <v>55</v>
      </c>
      <c r="D36" s="92">
        <f>SUBTOTAL(109,Transportation[January])</f>
        <v>0</v>
      </c>
      <c r="E36" s="93">
        <f>SUBTOTAL(109,Transportation[February])</f>
        <v>0</v>
      </c>
      <c r="F36" s="92">
        <f>SUBTOTAL(109,Transportation[March])</f>
        <v>0</v>
      </c>
      <c r="G36" s="93">
        <f>SUBTOTAL(109,Transportation[April])</f>
        <v>0</v>
      </c>
      <c r="H36" s="92">
        <f>SUBTOTAL(109,Transportation[May])</f>
        <v>0</v>
      </c>
      <c r="I36" s="93">
        <f>SUBTOTAL(109,Transportation[June])</f>
        <v>0</v>
      </c>
      <c r="J36" s="92">
        <f>SUBTOTAL(109,Transportation[July])</f>
        <v>0</v>
      </c>
      <c r="K36" s="93">
        <f>SUBTOTAL(109,Transportation[August])</f>
        <v>0</v>
      </c>
      <c r="L36" s="92">
        <f>SUBTOTAL(109,Transportation[September])</f>
        <v>0</v>
      </c>
      <c r="M36" s="93">
        <f>SUBTOTAL(109,Transportation[October])</f>
        <v>0</v>
      </c>
      <c r="N36" s="92">
        <f>SUBTOTAL(109,Transportation[November])</f>
        <v>0</v>
      </c>
      <c r="O36" s="93">
        <f>SUBTOTAL(109,Transportation[December])</f>
        <v>0</v>
      </c>
      <c r="P36" s="92">
        <f>SUBTOTAL(109,Transportation[Year])</f>
        <v>0</v>
      </c>
      <c r="Q36" s="43"/>
    </row>
    <row r="37" spans="1:23" ht="20.100000000000001" customHeight="1" thickTop="1" x14ac:dyDescent="0.2"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</row>
    <row r="38" spans="1:23" ht="21" customHeight="1" x14ac:dyDescent="0.2">
      <c r="A38" s="48" t="s">
        <v>116</v>
      </c>
      <c r="B38" s="31"/>
      <c r="C38" s="21" t="s">
        <v>61</v>
      </c>
      <c r="D38" s="85" t="s">
        <v>94</v>
      </c>
      <c r="E38" s="95" t="s">
        <v>95</v>
      </c>
      <c r="F38" s="85" t="s">
        <v>87</v>
      </c>
      <c r="G38" s="95" t="s">
        <v>88</v>
      </c>
      <c r="H38" s="85" t="s">
        <v>89</v>
      </c>
      <c r="I38" s="95" t="s">
        <v>90</v>
      </c>
      <c r="J38" s="85" t="s">
        <v>91</v>
      </c>
      <c r="K38" s="95" t="s">
        <v>96</v>
      </c>
      <c r="L38" s="85" t="s">
        <v>97</v>
      </c>
      <c r="M38" s="95" t="s">
        <v>98</v>
      </c>
      <c r="N38" s="85" t="s">
        <v>99</v>
      </c>
      <c r="O38" s="95" t="s">
        <v>100</v>
      </c>
      <c r="P38" s="85" t="s">
        <v>92</v>
      </c>
      <c r="Q38" s="38" t="s">
        <v>101</v>
      </c>
    </row>
    <row r="39" spans="1:23" ht="15.95" customHeight="1" x14ac:dyDescent="0.2">
      <c r="B39" s="31"/>
      <c r="C39" s="5" t="s">
        <v>15</v>
      </c>
      <c r="D39" s="106"/>
      <c r="E39" s="108"/>
      <c r="F39" s="106"/>
      <c r="G39" s="108"/>
      <c r="H39" s="106"/>
      <c r="I39" s="108"/>
      <c r="J39" s="106"/>
      <c r="K39" s="108"/>
      <c r="L39" s="106"/>
      <c r="M39" s="108"/>
      <c r="N39" s="106"/>
      <c r="O39" s="108"/>
      <c r="P39" s="106">
        <f>SUM(Entertainment[[#This Row],[January]:[December]])</f>
        <v>0</v>
      </c>
      <c r="Q39" s="12"/>
      <c r="W39" s="88"/>
    </row>
    <row r="40" spans="1:23" ht="15.95" customHeight="1" x14ac:dyDescent="0.2">
      <c r="A40" s="50"/>
      <c r="B40" s="31"/>
      <c r="C40" s="5" t="s">
        <v>16</v>
      </c>
      <c r="D40" s="106"/>
      <c r="E40" s="108"/>
      <c r="F40" s="106"/>
      <c r="G40" s="108"/>
      <c r="H40" s="106"/>
      <c r="I40" s="108"/>
      <c r="J40" s="106"/>
      <c r="K40" s="108"/>
      <c r="L40" s="106"/>
      <c r="M40" s="108"/>
      <c r="N40" s="106"/>
      <c r="O40" s="108"/>
      <c r="P40" s="106">
        <f>SUM(Entertainment[[#This Row],[January]:[December]])</f>
        <v>0</v>
      </c>
      <c r="Q40" s="2"/>
    </row>
    <row r="41" spans="1:23" ht="15.95" customHeight="1" x14ac:dyDescent="0.2">
      <c r="B41" s="31"/>
      <c r="C41" s="5" t="s">
        <v>17</v>
      </c>
      <c r="D41" s="106"/>
      <c r="E41" s="108"/>
      <c r="F41" s="106"/>
      <c r="G41" s="108"/>
      <c r="H41" s="106"/>
      <c r="I41" s="108"/>
      <c r="J41" s="106"/>
      <c r="K41" s="108"/>
      <c r="L41" s="106"/>
      <c r="M41" s="108"/>
      <c r="N41" s="106"/>
      <c r="O41" s="108"/>
      <c r="P41" s="106">
        <f>SUM(Entertainment[[#This Row],[January]:[December]])</f>
        <v>0</v>
      </c>
      <c r="Q41" s="12"/>
    </row>
    <row r="42" spans="1:23" ht="15.95" customHeight="1" x14ac:dyDescent="0.2">
      <c r="B42" s="31"/>
      <c r="C42" s="5" t="s">
        <v>18</v>
      </c>
      <c r="D42" s="106"/>
      <c r="E42" s="108"/>
      <c r="F42" s="106"/>
      <c r="G42" s="108"/>
      <c r="H42" s="106"/>
      <c r="I42" s="108"/>
      <c r="J42" s="106"/>
      <c r="K42" s="108"/>
      <c r="L42" s="106"/>
      <c r="M42" s="108"/>
      <c r="N42" s="106"/>
      <c r="O42" s="108"/>
      <c r="P42" s="106">
        <f>SUM(Entertainment[[#This Row],[January]:[December]])</f>
        <v>0</v>
      </c>
      <c r="Q42" s="2"/>
    </row>
    <row r="43" spans="1:23" ht="21" customHeight="1" thickBot="1" x14ac:dyDescent="0.25">
      <c r="C43" s="44" t="s">
        <v>55</v>
      </c>
      <c r="D43" s="92">
        <f>SUBTOTAL(109,Entertainment[January])</f>
        <v>0</v>
      </c>
      <c r="E43" s="93">
        <f>SUBTOTAL(109,Entertainment[February])</f>
        <v>0</v>
      </c>
      <c r="F43" s="92">
        <f>SUBTOTAL(109,Entertainment[March])</f>
        <v>0</v>
      </c>
      <c r="G43" s="93">
        <f>SUBTOTAL(109,Entertainment[April])</f>
        <v>0</v>
      </c>
      <c r="H43" s="92">
        <f>SUBTOTAL(109,Entertainment[May])</f>
        <v>0</v>
      </c>
      <c r="I43" s="93">
        <f>SUBTOTAL(109,Entertainment[June])</f>
        <v>0</v>
      </c>
      <c r="J43" s="92">
        <f>SUBTOTAL(109,Entertainment[July])</f>
        <v>0</v>
      </c>
      <c r="K43" s="93">
        <f>SUBTOTAL(109,Entertainment[August])</f>
        <v>0</v>
      </c>
      <c r="L43" s="92">
        <f>SUBTOTAL(109,Entertainment[September])</f>
        <v>0</v>
      </c>
      <c r="M43" s="93">
        <f>SUBTOTAL(109,Entertainment[October])</f>
        <v>0</v>
      </c>
      <c r="N43" s="92">
        <f>SUBTOTAL(109,Entertainment[November])</f>
        <v>0</v>
      </c>
      <c r="O43" s="93">
        <f>SUBTOTAL(109,Entertainment[December])</f>
        <v>0</v>
      </c>
      <c r="P43" s="92">
        <f>SUBTOTAL(109,Entertainment[Year])</f>
        <v>0</v>
      </c>
      <c r="Q43" s="43"/>
      <c r="S43" s="81"/>
    </row>
    <row r="44" spans="1:23" ht="20.100000000000001" customHeight="1" thickTop="1" x14ac:dyDescent="0.2"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</row>
    <row r="45" spans="1:23" ht="21" customHeight="1" x14ac:dyDescent="0.2">
      <c r="A45" s="48" t="s">
        <v>117</v>
      </c>
      <c r="B45" s="31"/>
      <c r="C45" s="21" t="s">
        <v>62</v>
      </c>
      <c r="D45" s="85" t="s">
        <v>94</v>
      </c>
      <c r="E45" s="38" t="s">
        <v>95</v>
      </c>
      <c r="F45" s="85" t="s">
        <v>87</v>
      </c>
      <c r="G45" s="38" t="s">
        <v>88</v>
      </c>
      <c r="H45" s="85" t="s">
        <v>89</v>
      </c>
      <c r="I45" s="38" t="s">
        <v>90</v>
      </c>
      <c r="J45" s="85" t="s">
        <v>91</v>
      </c>
      <c r="K45" s="38" t="s">
        <v>96</v>
      </c>
      <c r="L45" s="85" t="s">
        <v>97</v>
      </c>
      <c r="M45" s="38" t="s">
        <v>98</v>
      </c>
      <c r="N45" s="85" t="s">
        <v>99</v>
      </c>
      <c r="O45" s="38" t="s">
        <v>100</v>
      </c>
      <c r="P45" s="85" t="s">
        <v>92</v>
      </c>
      <c r="Q45" s="38" t="s">
        <v>101</v>
      </c>
    </row>
    <row r="46" spans="1:23" ht="15.95" customHeight="1" x14ac:dyDescent="0.2">
      <c r="B46" s="31"/>
      <c r="C46" s="5" t="s">
        <v>19</v>
      </c>
      <c r="D46" s="106"/>
      <c r="E46" s="108"/>
      <c r="F46" s="106"/>
      <c r="G46" s="108"/>
      <c r="H46" s="106"/>
      <c r="I46" s="108"/>
      <c r="J46" s="106"/>
      <c r="K46" s="108"/>
      <c r="L46" s="106"/>
      <c r="M46" s="108"/>
      <c r="N46" s="106"/>
      <c r="O46" s="108"/>
      <c r="P46" s="106">
        <f>SUM(Health[[#This Row],[January]:[December]])</f>
        <v>0</v>
      </c>
      <c r="Q46" s="2"/>
    </row>
    <row r="47" spans="1:23" ht="15.95" customHeight="1" x14ac:dyDescent="0.2">
      <c r="B47" s="31"/>
      <c r="C47" s="5" t="s">
        <v>10</v>
      </c>
      <c r="D47" s="106"/>
      <c r="E47" s="108"/>
      <c r="F47" s="106"/>
      <c r="G47" s="108"/>
      <c r="H47" s="106"/>
      <c r="I47" s="108"/>
      <c r="J47" s="106"/>
      <c r="K47" s="108"/>
      <c r="L47" s="106"/>
      <c r="M47" s="108"/>
      <c r="N47" s="106"/>
      <c r="O47" s="108"/>
      <c r="P47" s="106">
        <f>SUM(Health[[#This Row],[January]:[December]])</f>
        <v>0</v>
      </c>
      <c r="Q47" s="12"/>
    </row>
    <row r="48" spans="1:23" ht="15.95" customHeight="1" x14ac:dyDescent="0.2">
      <c r="B48" s="31"/>
      <c r="C48" s="5" t="s">
        <v>20</v>
      </c>
      <c r="D48" s="106"/>
      <c r="E48" s="108"/>
      <c r="F48" s="106"/>
      <c r="G48" s="108"/>
      <c r="H48" s="106"/>
      <c r="I48" s="108"/>
      <c r="J48" s="106"/>
      <c r="K48" s="108"/>
      <c r="L48" s="106"/>
      <c r="M48" s="108"/>
      <c r="N48" s="106"/>
      <c r="O48" s="108"/>
      <c r="P48" s="106">
        <f>SUM(Health[[#This Row],[January]:[December]])</f>
        <v>0</v>
      </c>
      <c r="Q48" s="2"/>
    </row>
    <row r="49" spans="1:22" ht="15.95" customHeight="1" x14ac:dyDescent="0.2">
      <c r="A49" s="50"/>
      <c r="C49" s="33" t="s">
        <v>21</v>
      </c>
      <c r="D49" s="106"/>
      <c r="E49" s="108"/>
      <c r="F49" s="106"/>
      <c r="G49" s="108"/>
      <c r="H49" s="106"/>
      <c r="I49" s="108"/>
      <c r="J49" s="106"/>
      <c r="K49" s="108"/>
      <c r="L49" s="106"/>
      <c r="M49" s="108"/>
      <c r="N49" s="106"/>
      <c r="O49" s="108"/>
      <c r="P49" s="106">
        <f>SUM(Health[[#This Row],[January]:[December]])</f>
        <v>0</v>
      </c>
      <c r="Q49" s="12"/>
      <c r="U49" s="94"/>
    </row>
    <row r="50" spans="1:22" ht="15.95" customHeight="1" x14ac:dyDescent="0.2">
      <c r="B50" s="31"/>
      <c r="C50" s="33" t="s">
        <v>22</v>
      </c>
      <c r="D50" s="106"/>
      <c r="E50" s="108"/>
      <c r="F50" s="106"/>
      <c r="G50" s="108"/>
      <c r="H50" s="106"/>
      <c r="I50" s="108"/>
      <c r="J50" s="106"/>
      <c r="K50" s="108"/>
      <c r="L50" s="106"/>
      <c r="M50" s="108"/>
      <c r="N50" s="106"/>
      <c r="O50" s="108"/>
      <c r="P50" s="106">
        <f>SUM(Health[[#This Row],[January]:[December]])</f>
        <v>0</v>
      </c>
      <c r="Q50" s="2"/>
    </row>
    <row r="51" spans="1:22" ht="15.95" customHeight="1" x14ac:dyDescent="0.2">
      <c r="B51" s="31"/>
      <c r="C51" s="5" t="s">
        <v>23</v>
      </c>
      <c r="D51" s="106"/>
      <c r="E51" s="108"/>
      <c r="F51" s="106"/>
      <c r="G51" s="108"/>
      <c r="H51" s="106"/>
      <c r="I51" s="108"/>
      <c r="J51" s="106"/>
      <c r="K51" s="108"/>
      <c r="L51" s="106"/>
      <c r="M51" s="108"/>
      <c r="N51" s="106"/>
      <c r="O51" s="108"/>
      <c r="P51" s="106">
        <f>SUM(Health[[#This Row],[January]:[December]])</f>
        <v>0</v>
      </c>
      <c r="Q51" s="12"/>
    </row>
    <row r="52" spans="1:22" ht="15.95" customHeight="1" x14ac:dyDescent="0.2">
      <c r="B52" s="31"/>
      <c r="C52" s="5" t="s">
        <v>24</v>
      </c>
      <c r="D52" s="106"/>
      <c r="E52" s="108"/>
      <c r="F52" s="106"/>
      <c r="G52" s="108"/>
      <c r="H52" s="106"/>
      <c r="I52" s="108"/>
      <c r="J52" s="106"/>
      <c r="K52" s="108"/>
      <c r="L52" s="106"/>
      <c r="M52" s="108"/>
      <c r="N52" s="106"/>
      <c r="O52" s="108"/>
      <c r="P52" s="106">
        <f>SUM(Health[[#This Row],[January]:[December]])</f>
        <v>0</v>
      </c>
      <c r="Q52" s="2"/>
    </row>
    <row r="53" spans="1:22" ht="21" customHeight="1" thickBot="1" x14ac:dyDescent="0.25">
      <c r="B53" s="31"/>
      <c r="C53" s="44" t="s">
        <v>55</v>
      </c>
      <c r="D53" s="92">
        <f>SUBTOTAL(109,Health[January])</f>
        <v>0</v>
      </c>
      <c r="E53" s="93">
        <f>SUBTOTAL(109,Health[February])</f>
        <v>0</v>
      </c>
      <c r="F53" s="92">
        <f>SUBTOTAL(109,Health[March])</f>
        <v>0</v>
      </c>
      <c r="G53" s="93">
        <f>SUBTOTAL(109,Health[April])</f>
        <v>0</v>
      </c>
      <c r="H53" s="92">
        <f>SUBTOTAL(109,Health[May])</f>
        <v>0</v>
      </c>
      <c r="I53" s="93">
        <f>SUBTOTAL(109,Health[June])</f>
        <v>0</v>
      </c>
      <c r="J53" s="92">
        <f>SUBTOTAL(109,Health[July])</f>
        <v>0</v>
      </c>
      <c r="K53" s="93">
        <f>SUBTOTAL(109,Health[August])</f>
        <v>0</v>
      </c>
      <c r="L53" s="92">
        <f>SUBTOTAL(109,Health[September])</f>
        <v>0</v>
      </c>
      <c r="M53" s="93">
        <f>SUBTOTAL(109,Health[October])</f>
        <v>0</v>
      </c>
      <c r="N53" s="92">
        <f>SUBTOTAL(109,Health[November])</f>
        <v>0</v>
      </c>
      <c r="O53" s="93">
        <f>SUBTOTAL(109,Health[December])</f>
        <v>0</v>
      </c>
      <c r="P53" s="92">
        <f>SUBTOTAL(109,Health[Year])</f>
        <v>0</v>
      </c>
      <c r="Q53" s="43"/>
    </row>
    <row r="54" spans="1:22" ht="20.100000000000001" customHeight="1" thickTop="1" x14ac:dyDescent="0.2"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</row>
    <row r="55" spans="1:22" ht="21" customHeight="1" x14ac:dyDescent="0.2">
      <c r="A55" s="48" t="s">
        <v>118</v>
      </c>
      <c r="B55" s="30"/>
      <c r="C55" s="16" t="s">
        <v>63</v>
      </c>
      <c r="D55" s="86" t="s">
        <v>94</v>
      </c>
      <c r="E55" s="98" t="s">
        <v>95</v>
      </c>
      <c r="F55" s="86" t="s">
        <v>87</v>
      </c>
      <c r="G55" s="98" t="s">
        <v>88</v>
      </c>
      <c r="H55" s="86" t="s">
        <v>89</v>
      </c>
      <c r="I55" s="98" t="s">
        <v>90</v>
      </c>
      <c r="J55" s="86" t="s">
        <v>91</v>
      </c>
      <c r="K55" s="98" t="s">
        <v>96</v>
      </c>
      <c r="L55" s="86" t="s">
        <v>97</v>
      </c>
      <c r="M55" s="98" t="s">
        <v>98</v>
      </c>
      <c r="N55" s="86" t="s">
        <v>99</v>
      </c>
      <c r="O55" s="98" t="s">
        <v>100</v>
      </c>
      <c r="P55" s="86" t="s">
        <v>92</v>
      </c>
      <c r="Q55" s="38" t="s">
        <v>101</v>
      </c>
    </row>
    <row r="56" spans="1:22" ht="15.95" customHeight="1" x14ac:dyDescent="0.2">
      <c r="B56" s="30"/>
      <c r="C56" s="5" t="s">
        <v>25</v>
      </c>
      <c r="D56" s="106"/>
      <c r="E56" s="108"/>
      <c r="F56" s="106"/>
      <c r="G56" s="108"/>
      <c r="H56" s="106"/>
      <c r="I56" s="108"/>
      <c r="J56" s="106"/>
      <c r="K56" s="108"/>
      <c r="L56" s="106"/>
      <c r="M56" s="108"/>
      <c r="N56" s="106"/>
      <c r="O56" s="108"/>
      <c r="P56" s="106">
        <f>SUM(Vacations[[#This Row],[January]:[December]])</f>
        <v>0</v>
      </c>
      <c r="Q56" s="12"/>
    </row>
    <row r="57" spans="1:22" ht="15.95" customHeight="1" x14ac:dyDescent="0.2">
      <c r="C57" s="34" t="s">
        <v>26</v>
      </c>
      <c r="D57" s="106"/>
      <c r="E57" s="108"/>
      <c r="F57" s="106"/>
      <c r="G57" s="108"/>
      <c r="H57" s="106"/>
      <c r="I57" s="108"/>
      <c r="J57" s="106"/>
      <c r="K57" s="108"/>
      <c r="L57" s="106"/>
      <c r="M57" s="108"/>
      <c r="N57" s="106"/>
      <c r="O57" s="108"/>
      <c r="P57" s="106">
        <f>SUM(Vacations[[#This Row],[January]:[December]])</f>
        <v>0</v>
      </c>
      <c r="Q57" s="2"/>
    </row>
    <row r="58" spans="1:22" ht="15.95" customHeight="1" x14ac:dyDescent="0.2">
      <c r="B58" s="30"/>
      <c r="C58" s="5" t="s">
        <v>27</v>
      </c>
      <c r="D58" s="106"/>
      <c r="E58" s="108"/>
      <c r="F58" s="106"/>
      <c r="G58" s="108"/>
      <c r="H58" s="106"/>
      <c r="I58" s="108"/>
      <c r="J58" s="106"/>
      <c r="K58" s="108"/>
      <c r="L58" s="106"/>
      <c r="M58" s="108"/>
      <c r="N58" s="106"/>
      <c r="O58" s="108"/>
      <c r="P58" s="106">
        <f>SUM(Vacations[[#This Row],[January]:[December]])</f>
        <v>0</v>
      </c>
      <c r="Q58" s="12"/>
    </row>
    <row r="59" spans="1:22" ht="15.95" customHeight="1" x14ac:dyDescent="0.2">
      <c r="B59" s="30"/>
      <c r="C59" s="5" t="s">
        <v>28</v>
      </c>
      <c r="D59" s="106"/>
      <c r="E59" s="108"/>
      <c r="F59" s="106"/>
      <c r="G59" s="108"/>
      <c r="H59" s="106"/>
      <c r="I59" s="108"/>
      <c r="J59" s="106"/>
      <c r="K59" s="108"/>
      <c r="L59" s="106"/>
      <c r="M59" s="108"/>
      <c r="N59" s="106"/>
      <c r="O59" s="108"/>
      <c r="P59" s="106">
        <f>SUM(Vacations[[#This Row],[January]:[December]])</f>
        <v>0</v>
      </c>
      <c r="Q59" s="2"/>
    </row>
    <row r="60" spans="1:22" ht="15.95" customHeight="1" x14ac:dyDescent="0.2">
      <c r="B60" s="30"/>
      <c r="C60" s="5" t="s">
        <v>29</v>
      </c>
      <c r="D60" s="106"/>
      <c r="E60" s="108"/>
      <c r="F60" s="106"/>
      <c r="G60" s="108"/>
      <c r="H60" s="106"/>
      <c r="I60" s="108"/>
      <c r="J60" s="106"/>
      <c r="K60" s="108"/>
      <c r="L60" s="106"/>
      <c r="M60" s="108"/>
      <c r="N60" s="106"/>
      <c r="O60" s="108"/>
      <c r="P60" s="106">
        <f>SUM(Vacations[[#This Row],[January]:[December]])</f>
        <v>0</v>
      </c>
      <c r="Q60" s="12"/>
    </row>
    <row r="61" spans="1:22" ht="15.95" customHeight="1" x14ac:dyDescent="0.2">
      <c r="B61" s="30"/>
      <c r="C61" s="5" t="s">
        <v>30</v>
      </c>
      <c r="D61" s="106"/>
      <c r="E61" s="108"/>
      <c r="F61" s="106"/>
      <c r="G61" s="108"/>
      <c r="H61" s="106"/>
      <c r="I61" s="108"/>
      <c r="J61" s="106"/>
      <c r="K61" s="108"/>
      <c r="L61" s="106"/>
      <c r="M61" s="108"/>
      <c r="N61" s="106"/>
      <c r="O61" s="108"/>
      <c r="P61" s="106">
        <f>SUM(Vacations[[#This Row],[January]:[December]])</f>
        <v>0</v>
      </c>
      <c r="Q61" s="2"/>
    </row>
    <row r="62" spans="1:22" ht="21" customHeight="1" thickBot="1" x14ac:dyDescent="0.25">
      <c r="B62" s="30"/>
      <c r="C62" s="42" t="s">
        <v>55</v>
      </c>
      <c r="D62" s="99">
        <f>SUBTOTAL(109,Vacations[January])</f>
        <v>0</v>
      </c>
      <c r="E62" s="100">
        <f>SUBTOTAL(109,Vacations[February])</f>
        <v>0</v>
      </c>
      <c r="F62" s="99">
        <f>SUBTOTAL(109,Vacations[March])</f>
        <v>0</v>
      </c>
      <c r="G62" s="100">
        <f>SUBTOTAL(109,Vacations[April])</f>
        <v>0</v>
      </c>
      <c r="H62" s="99">
        <f>SUBTOTAL(109,Vacations[May])</f>
        <v>0</v>
      </c>
      <c r="I62" s="100">
        <f>SUBTOTAL(109,Vacations[June])</f>
        <v>0</v>
      </c>
      <c r="J62" s="99">
        <f>SUBTOTAL(109,Vacations[July])</f>
        <v>0</v>
      </c>
      <c r="K62" s="100">
        <f>SUBTOTAL(109,Vacations[August])</f>
        <v>0</v>
      </c>
      <c r="L62" s="99">
        <f>SUBTOTAL(109,Vacations[September])</f>
        <v>0</v>
      </c>
      <c r="M62" s="100">
        <f>SUBTOTAL(109,Vacations[October])</f>
        <v>0</v>
      </c>
      <c r="N62" s="99">
        <f>SUBTOTAL(109,Vacations[November])</f>
        <v>0</v>
      </c>
      <c r="O62" s="100">
        <f>SUBTOTAL(109,Vacations[December])</f>
        <v>0</v>
      </c>
      <c r="P62" s="99">
        <f>SUBTOTAL(109,Vacations[Year])</f>
        <v>0</v>
      </c>
      <c r="Q62" s="43"/>
    </row>
    <row r="63" spans="1:22" ht="20.100000000000001" customHeight="1" thickTop="1" x14ac:dyDescent="0.2"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</row>
    <row r="64" spans="1:22" ht="21" customHeight="1" x14ac:dyDescent="0.2">
      <c r="A64" s="48" t="s">
        <v>119</v>
      </c>
      <c r="B64" s="30"/>
      <c r="C64" s="20" t="s">
        <v>64</v>
      </c>
      <c r="D64" s="87" t="s">
        <v>94</v>
      </c>
      <c r="E64" s="39" t="s">
        <v>95</v>
      </c>
      <c r="F64" s="87" t="s">
        <v>87</v>
      </c>
      <c r="G64" s="39" t="s">
        <v>88</v>
      </c>
      <c r="H64" s="87" t="s">
        <v>89</v>
      </c>
      <c r="I64" s="39" t="s">
        <v>90</v>
      </c>
      <c r="J64" s="87" t="s">
        <v>91</v>
      </c>
      <c r="K64" s="39" t="s">
        <v>96</v>
      </c>
      <c r="L64" s="87" t="s">
        <v>97</v>
      </c>
      <c r="M64" s="39" t="s">
        <v>98</v>
      </c>
      <c r="N64" s="87" t="s">
        <v>99</v>
      </c>
      <c r="O64" s="39" t="s">
        <v>100</v>
      </c>
      <c r="P64" s="87" t="s">
        <v>92</v>
      </c>
      <c r="Q64" s="39" t="s">
        <v>101</v>
      </c>
      <c r="V64" s="96"/>
    </row>
    <row r="65" spans="1:22" ht="15.95" customHeight="1" x14ac:dyDescent="0.2">
      <c r="B65" s="30"/>
      <c r="C65" s="5" t="s">
        <v>31</v>
      </c>
      <c r="D65" s="106"/>
      <c r="E65" s="108"/>
      <c r="F65" s="106"/>
      <c r="G65" s="108"/>
      <c r="H65" s="106"/>
      <c r="I65" s="108"/>
      <c r="J65" s="106"/>
      <c r="K65" s="108"/>
      <c r="L65" s="106"/>
      <c r="M65" s="108"/>
      <c r="N65" s="106"/>
      <c r="O65" s="108"/>
      <c r="P65" s="106">
        <f>SUM(Recreation[[#This Row],[January]:[December]])</f>
        <v>0</v>
      </c>
      <c r="Q65" s="12"/>
    </row>
    <row r="66" spans="1:22" ht="15.95" customHeight="1" x14ac:dyDescent="0.2">
      <c r="B66" s="30"/>
      <c r="C66" s="5" t="s">
        <v>32</v>
      </c>
      <c r="D66" s="106"/>
      <c r="E66" s="108"/>
      <c r="F66" s="106"/>
      <c r="G66" s="108"/>
      <c r="H66" s="106"/>
      <c r="I66" s="108"/>
      <c r="J66" s="106"/>
      <c r="K66" s="108"/>
      <c r="L66" s="106"/>
      <c r="M66" s="108"/>
      <c r="N66" s="106"/>
      <c r="O66" s="108"/>
      <c r="P66" s="106">
        <f>SUM(Recreation[[#This Row],[January]:[December]])</f>
        <v>0</v>
      </c>
      <c r="Q66" s="2"/>
    </row>
    <row r="67" spans="1:22" ht="15.95" customHeight="1" x14ac:dyDescent="0.2">
      <c r="B67" s="30"/>
      <c r="C67" s="5" t="s">
        <v>33</v>
      </c>
      <c r="D67" s="106"/>
      <c r="E67" s="108"/>
      <c r="F67" s="106"/>
      <c r="G67" s="108"/>
      <c r="H67" s="106"/>
      <c r="I67" s="108"/>
      <c r="J67" s="106"/>
      <c r="K67" s="108"/>
      <c r="L67" s="106"/>
      <c r="M67" s="108"/>
      <c r="N67" s="106"/>
      <c r="O67" s="108"/>
      <c r="P67" s="106">
        <f>SUM(Recreation[[#This Row],[January]:[December]])</f>
        <v>0</v>
      </c>
      <c r="Q67" s="12"/>
    </row>
    <row r="68" spans="1:22" ht="15.95" customHeight="1" x14ac:dyDescent="0.2">
      <c r="B68" s="30"/>
      <c r="C68" s="5" t="s">
        <v>34</v>
      </c>
      <c r="D68" s="106"/>
      <c r="E68" s="108"/>
      <c r="F68" s="106"/>
      <c r="G68" s="108"/>
      <c r="H68" s="106"/>
      <c r="I68" s="108"/>
      <c r="J68" s="106"/>
      <c r="K68" s="108"/>
      <c r="L68" s="106"/>
      <c r="M68" s="108"/>
      <c r="N68" s="106"/>
      <c r="O68" s="108"/>
      <c r="P68" s="106">
        <f>SUM(Recreation[[#This Row],[January]:[December]])</f>
        <v>0</v>
      </c>
      <c r="Q68" s="2"/>
    </row>
    <row r="69" spans="1:22" ht="21" customHeight="1" thickBot="1" x14ac:dyDescent="0.25">
      <c r="B69" s="30"/>
      <c r="C69" s="42" t="s">
        <v>55</v>
      </c>
      <c r="D69" s="90">
        <f>SUBTOTAL(109,Recreation[January])</f>
        <v>0</v>
      </c>
      <c r="E69" s="91">
        <f>SUBTOTAL(109,Recreation[February])</f>
        <v>0</v>
      </c>
      <c r="F69" s="90">
        <f>SUBTOTAL(109,Recreation[March])</f>
        <v>0</v>
      </c>
      <c r="G69" s="91">
        <f>SUBTOTAL(109,Recreation[April])</f>
        <v>0</v>
      </c>
      <c r="H69" s="90">
        <f>SUBTOTAL(109,Recreation[May])</f>
        <v>0</v>
      </c>
      <c r="I69" s="91">
        <f>SUBTOTAL(109,Recreation[June])</f>
        <v>0</v>
      </c>
      <c r="J69" s="90">
        <f>SUBTOTAL(109,Recreation[July])</f>
        <v>0</v>
      </c>
      <c r="K69" s="91">
        <f>SUBTOTAL(109,Recreation[August])</f>
        <v>0</v>
      </c>
      <c r="L69" s="90">
        <f>SUBTOTAL(109,Recreation[September])</f>
        <v>0</v>
      </c>
      <c r="M69" s="91">
        <f>SUBTOTAL(109,Recreation[October])</f>
        <v>0</v>
      </c>
      <c r="N69" s="90">
        <f>SUBTOTAL(109,Recreation[November])</f>
        <v>0</v>
      </c>
      <c r="O69" s="91">
        <f>SUBTOTAL(109,Recreation[December])</f>
        <v>0</v>
      </c>
      <c r="P69" s="90">
        <f>SUBTOTAL(109,Recreation[Year])</f>
        <v>0</v>
      </c>
      <c r="Q69" s="43"/>
    </row>
    <row r="70" spans="1:22" ht="20.100000000000001" customHeight="1" thickTop="1" x14ac:dyDescent="0.2"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U70" s="94"/>
    </row>
    <row r="71" spans="1:22" ht="21" customHeight="1" x14ac:dyDescent="0.2">
      <c r="A71" s="48" t="s">
        <v>120</v>
      </c>
      <c r="B71" s="31"/>
      <c r="C71" s="22" t="s">
        <v>65</v>
      </c>
      <c r="D71" s="87" t="s">
        <v>94</v>
      </c>
      <c r="E71" s="97" t="s">
        <v>95</v>
      </c>
      <c r="F71" s="87" t="s">
        <v>87</v>
      </c>
      <c r="G71" s="97" t="s">
        <v>88</v>
      </c>
      <c r="H71" s="87" t="s">
        <v>89</v>
      </c>
      <c r="I71" s="97" t="s">
        <v>90</v>
      </c>
      <c r="J71" s="87" t="s">
        <v>91</v>
      </c>
      <c r="K71" s="97" t="s">
        <v>96</v>
      </c>
      <c r="L71" s="87" t="s">
        <v>97</v>
      </c>
      <c r="M71" s="97" t="s">
        <v>98</v>
      </c>
      <c r="N71" s="87" t="s">
        <v>99</v>
      </c>
      <c r="O71" s="97" t="s">
        <v>100</v>
      </c>
      <c r="P71" s="87" t="s">
        <v>92</v>
      </c>
      <c r="Q71" s="39" t="s">
        <v>101</v>
      </c>
    </row>
    <row r="72" spans="1:22" ht="15.95" customHeight="1" x14ac:dyDescent="0.2">
      <c r="C72" s="33" t="s">
        <v>35</v>
      </c>
      <c r="D72" s="106"/>
      <c r="E72" s="108"/>
      <c r="F72" s="106"/>
      <c r="G72" s="108"/>
      <c r="H72" s="106"/>
      <c r="I72" s="108"/>
      <c r="J72" s="106"/>
      <c r="K72" s="108"/>
      <c r="L72" s="106"/>
      <c r="M72" s="108"/>
      <c r="N72" s="106"/>
      <c r="O72" s="108"/>
      <c r="P72" s="106">
        <f>SUM(DuesAndSubscription[[#This Row],[January]:[December]])</f>
        <v>0</v>
      </c>
      <c r="Q72" s="2"/>
    </row>
    <row r="73" spans="1:22" ht="15.95" customHeight="1" x14ac:dyDescent="0.2">
      <c r="B73" s="31"/>
      <c r="C73" s="5" t="s">
        <v>36</v>
      </c>
      <c r="D73" s="106"/>
      <c r="E73" s="108"/>
      <c r="F73" s="106"/>
      <c r="G73" s="108"/>
      <c r="H73" s="106"/>
      <c r="I73" s="108"/>
      <c r="J73" s="106"/>
      <c r="K73" s="108"/>
      <c r="L73" s="106"/>
      <c r="M73" s="108"/>
      <c r="N73" s="106"/>
      <c r="O73" s="108"/>
      <c r="P73" s="106">
        <f>SUM(DuesAndSubscription[[#This Row],[January]:[December]])</f>
        <v>0</v>
      </c>
      <c r="Q73" s="12"/>
    </row>
    <row r="74" spans="1:22" ht="15.95" customHeight="1" x14ac:dyDescent="0.2">
      <c r="B74" s="31"/>
      <c r="C74" s="5" t="s">
        <v>37</v>
      </c>
      <c r="D74" s="106"/>
      <c r="E74" s="108"/>
      <c r="F74" s="106"/>
      <c r="G74" s="108"/>
      <c r="H74" s="106"/>
      <c r="I74" s="108"/>
      <c r="J74" s="106"/>
      <c r="K74" s="108"/>
      <c r="L74" s="106"/>
      <c r="M74" s="108"/>
      <c r="N74" s="106"/>
      <c r="O74" s="108"/>
      <c r="P74" s="106">
        <f>SUM(DuesAndSubscription[[#This Row],[January]:[December]])</f>
        <v>0</v>
      </c>
      <c r="Q74" s="2"/>
    </row>
    <row r="75" spans="1:22" ht="15.95" customHeight="1" x14ac:dyDescent="0.2">
      <c r="B75" s="31"/>
      <c r="C75" s="5" t="s">
        <v>38</v>
      </c>
      <c r="D75" s="106"/>
      <c r="E75" s="108"/>
      <c r="F75" s="106"/>
      <c r="G75" s="108"/>
      <c r="H75" s="106"/>
      <c r="I75" s="108"/>
      <c r="J75" s="106"/>
      <c r="K75" s="108"/>
      <c r="L75" s="106"/>
      <c r="M75" s="108"/>
      <c r="N75" s="106"/>
      <c r="O75" s="108"/>
      <c r="P75" s="106">
        <f>SUM(DuesAndSubscription[[#This Row],[January]:[December]])</f>
        <v>0</v>
      </c>
      <c r="Q75" s="12"/>
    </row>
    <row r="76" spans="1:22" ht="15.95" customHeight="1" x14ac:dyDescent="0.2">
      <c r="B76" s="31"/>
      <c r="C76" s="5" t="s">
        <v>39</v>
      </c>
      <c r="D76" s="106"/>
      <c r="E76" s="108"/>
      <c r="F76" s="106"/>
      <c r="G76" s="108"/>
      <c r="H76" s="106"/>
      <c r="I76" s="108"/>
      <c r="J76" s="106"/>
      <c r="K76" s="108"/>
      <c r="L76" s="106"/>
      <c r="M76" s="108"/>
      <c r="N76" s="106"/>
      <c r="O76" s="108"/>
      <c r="P76" s="106">
        <f>SUM(DuesAndSubscription[[#This Row],[January]:[December]])</f>
        <v>0</v>
      </c>
      <c r="Q76" s="2"/>
    </row>
    <row r="77" spans="1:22" ht="15.95" customHeight="1" x14ac:dyDescent="0.2">
      <c r="B77" s="31"/>
      <c r="C77" s="5" t="s">
        <v>40</v>
      </c>
      <c r="D77" s="106"/>
      <c r="E77" s="108"/>
      <c r="F77" s="106"/>
      <c r="G77" s="108"/>
      <c r="H77" s="106"/>
      <c r="I77" s="108"/>
      <c r="J77" s="106"/>
      <c r="K77" s="108"/>
      <c r="L77" s="106"/>
      <c r="M77" s="108"/>
      <c r="N77" s="106"/>
      <c r="O77" s="108"/>
      <c r="P77" s="106">
        <f>SUM(DuesAndSubscription[[#This Row],[January]:[December]])</f>
        <v>0</v>
      </c>
      <c r="Q77" s="12"/>
    </row>
    <row r="78" spans="1:22" ht="15.95" customHeight="1" x14ac:dyDescent="0.2">
      <c r="B78" s="31"/>
      <c r="C78" s="5" t="s">
        <v>41</v>
      </c>
      <c r="D78" s="106"/>
      <c r="E78" s="108"/>
      <c r="F78" s="106"/>
      <c r="G78" s="108"/>
      <c r="H78" s="106"/>
      <c r="I78" s="108"/>
      <c r="J78" s="106"/>
      <c r="K78" s="108"/>
      <c r="L78" s="106"/>
      <c r="M78" s="108"/>
      <c r="N78" s="106"/>
      <c r="O78" s="108"/>
      <c r="P78" s="106">
        <f>SUM(DuesAndSubscription[[#This Row],[January]:[December]])</f>
        <v>0</v>
      </c>
      <c r="Q78" s="2"/>
    </row>
    <row r="79" spans="1:22" ht="21" customHeight="1" thickBot="1" x14ac:dyDescent="0.25">
      <c r="B79" s="31"/>
      <c r="C79" s="44" t="s">
        <v>55</v>
      </c>
      <c r="D79" s="99">
        <f>SUBTOTAL(109,DuesAndSubscription[January])</f>
        <v>0</v>
      </c>
      <c r="E79" s="100">
        <f>SUBTOTAL(109,DuesAndSubscription[February])</f>
        <v>0</v>
      </c>
      <c r="F79" s="99">
        <f>SUBTOTAL(109,DuesAndSubscription[March])</f>
        <v>0</v>
      </c>
      <c r="G79" s="100">
        <f>SUBTOTAL(109,DuesAndSubscription[April])</f>
        <v>0</v>
      </c>
      <c r="H79" s="99">
        <f>SUBTOTAL(109,DuesAndSubscription[May])</f>
        <v>0</v>
      </c>
      <c r="I79" s="100">
        <f>SUBTOTAL(109,DuesAndSubscription[June])</f>
        <v>0</v>
      </c>
      <c r="J79" s="99">
        <f>SUBTOTAL(109,DuesAndSubscription[July])</f>
        <v>0</v>
      </c>
      <c r="K79" s="100">
        <f>SUBTOTAL(109,DuesAndSubscription[August])</f>
        <v>0</v>
      </c>
      <c r="L79" s="99">
        <f>SUBTOTAL(109,DuesAndSubscription[September])</f>
        <v>0</v>
      </c>
      <c r="M79" s="100">
        <f>SUBTOTAL(109,DuesAndSubscription[October])</f>
        <v>0</v>
      </c>
      <c r="N79" s="99">
        <f>SUBTOTAL(109,DuesAndSubscription[November])</f>
        <v>0</v>
      </c>
      <c r="O79" s="100">
        <f>SUBTOTAL(109,DuesAndSubscription[December])</f>
        <v>0</v>
      </c>
      <c r="P79" s="99">
        <f>SUBTOTAL(109,DuesAndSubscription[Year])</f>
        <v>0</v>
      </c>
      <c r="Q79" s="43"/>
      <c r="S79" s="96"/>
      <c r="V79" s="94"/>
    </row>
    <row r="80" spans="1:22" ht="20.100000000000001" customHeight="1" thickTop="1" x14ac:dyDescent="0.2"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</row>
    <row r="81" spans="1:21" ht="21" customHeight="1" x14ac:dyDescent="0.2">
      <c r="A81" s="48" t="s">
        <v>121</v>
      </c>
      <c r="B81" s="31"/>
      <c r="C81" s="22" t="s">
        <v>66</v>
      </c>
      <c r="D81" s="87" t="s">
        <v>94</v>
      </c>
      <c r="E81" s="97" t="s">
        <v>95</v>
      </c>
      <c r="F81" s="87" t="s">
        <v>87</v>
      </c>
      <c r="G81" s="97" t="s">
        <v>88</v>
      </c>
      <c r="H81" s="87" t="s">
        <v>89</v>
      </c>
      <c r="I81" s="97" t="s">
        <v>90</v>
      </c>
      <c r="J81" s="87" t="s">
        <v>91</v>
      </c>
      <c r="K81" s="97" t="s">
        <v>96</v>
      </c>
      <c r="L81" s="87" t="s">
        <v>97</v>
      </c>
      <c r="M81" s="97" t="s">
        <v>98</v>
      </c>
      <c r="N81" s="87" t="s">
        <v>99</v>
      </c>
      <c r="O81" s="97" t="s">
        <v>100</v>
      </c>
      <c r="P81" s="87" t="s">
        <v>92</v>
      </c>
      <c r="Q81" s="39" t="s">
        <v>101</v>
      </c>
    </row>
    <row r="82" spans="1:21" ht="15.95" customHeight="1" x14ac:dyDescent="0.2">
      <c r="B82" s="31"/>
      <c r="C82" s="5" t="s">
        <v>42</v>
      </c>
      <c r="D82" s="106"/>
      <c r="E82" s="108"/>
      <c r="F82" s="106"/>
      <c r="G82" s="108"/>
      <c r="H82" s="106"/>
      <c r="I82" s="108"/>
      <c r="J82" s="106"/>
      <c r="K82" s="108"/>
      <c r="L82" s="106"/>
      <c r="M82" s="108"/>
      <c r="N82" s="106"/>
      <c r="O82" s="108"/>
      <c r="P82" s="106">
        <f>SUM(Personal[[#This Row],[January]:[December]])</f>
        <v>0</v>
      </c>
      <c r="Q82" s="2"/>
    </row>
    <row r="83" spans="1:21" ht="15.95" customHeight="1" x14ac:dyDescent="0.2">
      <c r="B83" s="31"/>
      <c r="C83" s="5" t="s">
        <v>43</v>
      </c>
      <c r="D83" s="106"/>
      <c r="E83" s="108"/>
      <c r="F83" s="106"/>
      <c r="G83" s="108"/>
      <c r="H83" s="106"/>
      <c r="I83" s="108"/>
      <c r="J83" s="106"/>
      <c r="K83" s="108"/>
      <c r="L83" s="106"/>
      <c r="M83" s="108"/>
      <c r="N83" s="106"/>
      <c r="O83" s="108"/>
      <c r="P83" s="106">
        <f>SUM(Personal[[#This Row],[January]:[December]])</f>
        <v>0</v>
      </c>
      <c r="Q83" s="12"/>
    </row>
    <row r="84" spans="1:21" ht="15.95" customHeight="1" x14ac:dyDescent="0.2">
      <c r="B84" s="31"/>
      <c r="C84" s="5" t="s">
        <v>44</v>
      </c>
      <c r="D84" s="106"/>
      <c r="E84" s="108"/>
      <c r="F84" s="106"/>
      <c r="G84" s="108"/>
      <c r="H84" s="106"/>
      <c r="I84" s="108"/>
      <c r="J84" s="106"/>
      <c r="K84" s="108"/>
      <c r="L84" s="106"/>
      <c r="M84" s="108"/>
      <c r="N84" s="106"/>
      <c r="O84" s="108"/>
      <c r="P84" s="106">
        <f>SUM(Personal[[#This Row],[January]:[December]])</f>
        <v>0</v>
      </c>
      <c r="Q84" s="2"/>
    </row>
    <row r="85" spans="1:21" ht="15.95" customHeight="1" x14ac:dyDescent="0.2">
      <c r="B85" s="31"/>
      <c r="C85" s="5" t="s">
        <v>45</v>
      </c>
      <c r="D85" s="106"/>
      <c r="E85" s="108"/>
      <c r="F85" s="106"/>
      <c r="G85" s="108"/>
      <c r="H85" s="106"/>
      <c r="I85" s="108"/>
      <c r="J85" s="106"/>
      <c r="K85" s="108"/>
      <c r="L85" s="106"/>
      <c r="M85" s="108"/>
      <c r="N85" s="106"/>
      <c r="O85" s="108"/>
      <c r="P85" s="106">
        <f>SUM(Personal[[#This Row],[January]:[December]])</f>
        <v>0</v>
      </c>
      <c r="Q85" s="12"/>
    </row>
    <row r="86" spans="1:21" ht="15.95" customHeight="1" x14ac:dyDescent="0.2">
      <c r="B86" s="31"/>
      <c r="C86" s="5" t="s">
        <v>46</v>
      </c>
      <c r="D86" s="106"/>
      <c r="E86" s="108"/>
      <c r="F86" s="106"/>
      <c r="G86" s="108"/>
      <c r="H86" s="106"/>
      <c r="I86" s="108"/>
      <c r="J86" s="106"/>
      <c r="K86" s="108"/>
      <c r="L86" s="106"/>
      <c r="M86" s="108"/>
      <c r="N86" s="106"/>
      <c r="O86" s="108"/>
      <c r="P86" s="106">
        <f>SUM(Personal[[#This Row],[January]:[December]])</f>
        <v>0</v>
      </c>
      <c r="Q86" s="2"/>
    </row>
    <row r="87" spans="1:21" ht="21" customHeight="1" thickBot="1" x14ac:dyDescent="0.25">
      <c r="B87" s="31"/>
      <c r="C87" s="44" t="s">
        <v>55</v>
      </c>
      <c r="D87" s="99">
        <f>SUBTOTAL(109,Personal[January])</f>
        <v>0</v>
      </c>
      <c r="E87" s="100">
        <f>SUBTOTAL(109,Personal[February])</f>
        <v>0</v>
      </c>
      <c r="F87" s="99">
        <f>SUBTOTAL(109,Personal[March])</f>
        <v>0</v>
      </c>
      <c r="G87" s="100">
        <f>SUBTOTAL(109,Personal[April])</f>
        <v>0</v>
      </c>
      <c r="H87" s="99">
        <f>SUBTOTAL(109,Personal[May])</f>
        <v>0</v>
      </c>
      <c r="I87" s="100">
        <f>SUBTOTAL(109,Personal[June])</f>
        <v>0</v>
      </c>
      <c r="J87" s="99">
        <f>SUBTOTAL(109,Personal[July])</f>
        <v>0</v>
      </c>
      <c r="K87" s="100">
        <f>SUBTOTAL(109,Personal[August])</f>
        <v>0</v>
      </c>
      <c r="L87" s="99">
        <f>SUBTOTAL(109,Personal[September])</f>
        <v>0</v>
      </c>
      <c r="M87" s="100">
        <f>SUBTOTAL(109,Personal[October])</f>
        <v>0</v>
      </c>
      <c r="N87" s="99">
        <f>SUBTOTAL(109,Personal[November])</f>
        <v>0</v>
      </c>
      <c r="O87" s="100">
        <f>SUBTOTAL(109,Personal[December])</f>
        <v>0</v>
      </c>
      <c r="P87" s="99">
        <f>SUBTOTAL(109,Personal[Year])</f>
        <v>0</v>
      </c>
      <c r="Q87" s="43"/>
    </row>
    <row r="88" spans="1:21" ht="20.100000000000001" customHeight="1" thickTop="1" x14ac:dyDescent="0.2"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</row>
    <row r="89" spans="1:21" ht="21" customHeight="1" x14ac:dyDescent="0.2">
      <c r="A89" s="48" t="s">
        <v>122</v>
      </c>
      <c r="B89" s="30"/>
      <c r="C89" s="20" t="s">
        <v>67</v>
      </c>
      <c r="D89" s="87" t="s">
        <v>94</v>
      </c>
      <c r="E89" s="97" t="s">
        <v>95</v>
      </c>
      <c r="F89" s="87" t="s">
        <v>87</v>
      </c>
      <c r="G89" s="97" t="s">
        <v>88</v>
      </c>
      <c r="H89" s="87" t="s">
        <v>89</v>
      </c>
      <c r="I89" s="97" t="s">
        <v>90</v>
      </c>
      <c r="J89" s="87" t="s">
        <v>91</v>
      </c>
      <c r="K89" s="97" t="s">
        <v>96</v>
      </c>
      <c r="L89" s="87" t="s">
        <v>97</v>
      </c>
      <c r="M89" s="97" t="s">
        <v>98</v>
      </c>
      <c r="N89" s="87" t="s">
        <v>99</v>
      </c>
      <c r="O89" s="97" t="s">
        <v>100</v>
      </c>
      <c r="P89" s="87" t="s">
        <v>92</v>
      </c>
      <c r="Q89" s="39" t="s">
        <v>101</v>
      </c>
    </row>
    <row r="90" spans="1:21" ht="15.95" customHeight="1" x14ac:dyDescent="0.2">
      <c r="B90" s="30"/>
      <c r="C90" s="5" t="s">
        <v>47</v>
      </c>
      <c r="D90" s="106"/>
      <c r="E90" s="108"/>
      <c r="F90" s="106"/>
      <c r="G90" s="108"/>
      <c r="H90" s="106"/>
      <c r="I90" s="108"/>
      <c r="J90" s="106"/>
      <c r="K90" s="108"/>
      <c r="L90" s="106"/>
      <c r="M90" s="108"/>
      <c r="N90" s="106"/>
      <c r="O90" s="108"/>
      <c r="P90" s="106">
        <f>SUM(Financial[[#This Row],[January]:[December]])</f>
        <v>0</v>
      </c>
      <c r="Q90" s="2"/>
      <c r="T90" s="81"/>
    </row>
    <row r="91" spans="1:21" ht="15.95" customHeight="1" x14ac:dyDescent="0.2">
      <c r="B91" s="30"/>
      <c r="C91" s="5" t="s">
        <v>48</v>
      </c>
      <c r="D91" s="106"/>
      <c r="E91" s="108"/>
      <c r="F91" s="106"/>
      <c r="G91" s="108"/>
      <c r="H91" s="106"/>
      <c r="I91" s="108"/>
      <c r="J91" s="106"/>
      <c r="K91" s="108"/>
      <c r="L91" s="106"/>
      <c r="M91" s="108"/>
      <c r="N91" s="106"/>
      <c r="O91" s="108"/>
      <c r="P91" s="106">
        <f>SUM(Financial[[#This Row],[January]:[December]])</f>
        <v>0</v>
      </c>
      <c r="Q91" s="12"/>
      <c r="T91" s="81"/>
    </row>
    <row r="92" spans="1:21" ht="15.95" customHeight="1" x14ac:dyDescent="0.2">
      <c r="B92" s="30"/>
      <c r="C92" s="5" t="s">
        <v>49</v>
      </c>
      <c r="D92" s="106"/>
      <c r="E92" s="108"/>
      <c r="F92" s="106"/>
      <c r="G92" s="108"/>
      <c r="H92" s="106"/>
      <c r="I92" s="108"/>
      <c r="J92" s="106"/>
      <c r="K92" s="108"/>
      <c r="L92" s="106"/>
      <c r="M92" s="108"/>
      <c r="N92" s="106"/>
      <c r="O92" s="108"/>
      <c r="P92" s="106">
        <f>SUM(Financial[[#This Row],[January]:[December]])</f>
        <v>0</v>
      </c>
      <c r="Q92" s="2"/>
      <c r="T92" s="81"/>
      <c r="U92" s="96"/>
    </row>
    <row r="93" spans="1:21" ht="15.95" customHeight="1" x14ac:dyDescent="0.2">
      <c r="B93" s="30"/>
      <c r="C93" s="5" t="s">
        <v>50</v>
      </c>
      <c r="D93" s="106"/>
      <c r="E93" s="108"/>
      <c r="F93" s="106"/>
      <c r="G93" s="108"/>
      <c r="H93" s="106"/>
      <c r="I93" s="108"/>
      <c r="J93" s="106"/>
      <c r="K93" s="108"/>
      <c r="L93" s="106"/>
      <c r="M93" s="108"/>
      <c r="N93" s="106"/>
      <c r="O93" s="108"/>
      <c r="P93" s="106">
        <f>SUM(Financial[[#This Row],[January]:[December]])</f>
        <v>0</v>
      </c>
      <c r="Q93" s="12"/>
      <c r="T93" s="81"/>
    </row>
    <row r="94" spans="1:21" ht="15.95" customHeight="1" x14ac:dyDescent="0.2">
      <c r="B94" s="30"/>
      <c r="C94" s="5" t="s">
        <v>51</v>
      </c>
      <c r="D94" s="106"/>
      <c r="E94" s="108"/>
      <c r="F94" s="106"/>
      <c r="G94" s="108"/>
      <c r="H94" s="106"/>
      <c r="I94" s="108"/>
      <c r="J94" s="106"/>
      <c r="K94" s="108"/>
      <c r="L94" s="106"/>
      <c r="M94" s="108"/>
      <c r="N94" s="106"/>
      <c r="O94" s="108"/>
      <c r="P94" s="106">
        <f>SUM(Financial[[#This Row],[January]:[December]])</f>
        <v>0</v>
      </c>
      <c r="Q94" s="2"/>
    </row>
    <row r="95" spans="1:21" ht="21" customHeight="1" thickBot="1" x14ac:dyDescent="0.25">
      <c r="B95" s="30"/>
      <c r="C95" s="42" t="s">
        <v>55</v>
      </c>
      <c r="D95" s="99">
        <f>SUBTOTAL(109,Financial[January])</f>
        <v>0</v>
      </c>
      <c r="E95" s="100">
        <f>SUBTOTAL(109,Financial[February])</f>
        <v>0</v>
      </c>
      <c r="F95" s="99">
        <f>SUBTOTAL(109,Financial[March])</f>
        <v>0</v>
      </c>
      <c r="G95" s="100">
        <f>SUBTOTAL(109,Financial[April])</f>
        <v>0</v>
      </c>
      <c r="H95" s="99">
        <f>SUBTOTAL(109,Financial[May])</f>
        <v>0</v>
      </c>
      <c r="I95" s="100">
        <f>SUBTOTAL(109,Financial[June])</f>
        <v>0</v>
      </c>
      <c r="J95" s="99">
        <f>SUBTOTAL(109,Financial[July])</f>
        <v>0</v>
      </c>
      <c r="K95" s="100">
        <f>SUBTOTAL(109,Financial[August])</f>
        <v>0</v>
      </c>
      <c r="L95" s="99">
        <f>SUBTOTAL(109,Financial[September])</f>
        <v>0</v>
      </c>
      <c r="M95" s="100">
        <f>SUBTOTAL(109,Financial[October])</f>
        <v>0</v>
      </c>
      <c r="N95" s="99">
        <f>SUBTOTAL(109,Financial[November])</f>
        <v>0</v>
      </c>
      <c r="O95" s="100">
        <f>SUBTOTAL(109,Financial[December])</f>
        <v>0</v>
      </c>
      <c r="P95" s="99">
        <f>SUBTOTAL(109,Financial[Year])</f>
        <v>0</v>
      </c>
      <c r="Q95" s="43"/>
    </row>
    <row r="96" spans="1:21" ht="20.100000000000001" customHeight="1" thickTop="1" x14ac:dyDescent="0.2"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</row>
    <row r="97" spans="1:17" ht="21" customHeight="1" x14ac:dyDescent="0.2">
      <c r="A97" s="48" t="s">
        <v>123</v>
      </c>
      <c r="B97" s="30"/>
      <c r="C97" s="20" t="s">
        <v>68</v>
      </c>
      <c r="D97" s="87" t="s">
        <v>94</v>
      </c>
      <c r="E97" s="98" t="s">
        <v>95</v>
      </c>
      <c r="F97" s="87" t="s">
        <v>87</v>
      </c>
      <c r="G97" s="98" t="s">
        <v>88</v>
      </c>
      <c r="H97" s="87" t="s">
        <v>89</v>
      </c>
      <c r="I97" s="97" t="s">
        <v>90</v>
      </c>
      <c r="J97" s="87" t="s">
        <v>91</v>
      </c>
      <c r="K97" s="97" t="s">
        <v>96</v>
      </c>
      <c r="L97" s="87" t="s">
        <v>97</v>
      </c>
      <c r="M97" s="97" t="s">
        <v>98</v>
      </c>
      <c r="N97" s="87" t="s">
        <v>99</v>
      </c>
      <c r="O97" s="97" t="s">
        <v>100</v>
      </c>
      <c r="P97" s="87" t="s">
        <v>92</v>
      </c>
      <c r="Q97" s="39" t="s">
        <v>101</v>
      </c>
    </row>
    <row r="98" spans="1:17" ht="15.95" customHeight="1" x14ac:dyDescent="0.2">
      <c r="B98" s="30"/>
      <c r="C98" s="17" t="s">
        <v>52</v>
      </c>
      <c r="D98" s="106"/>
      <c r="E98" s="108"/>
      <c r="F98" s="106"/>
      <c r="G98" s="108"/>
      <c r="H98" s="106"/>
      <c r="I98" s="108"/>
      <c r="J98" s="106"/>
      <c r="K98" s="108"/>
      <c r="L98" s="106"/>
      <c r="M98" s="108"/>
      <c r="N98" s="106"/>
      <c r="O98" s="108"/>
      <c r="P98" s="106">
        <f>SUM(Misc[[#This Row],[January]:[December]])</f>
        <v>0</v>
      </c>
      <c r="Q98" s="2"/>
    </row>
    <row r="99" spans="1:17" ht="15.95" customHeight="1" x14ac:dyDescent="0.2">
      <c r="B99" s="30"/>
      <c r="C99" s="17" t="s">
        <v>52</v>
      </c>
      <c r="D99" s="106"/>
      <c r="E99" s="108"/>
      <c r="F99" s="106"/>
      <c r="G99" s="108"/>
      <c r="H99" s="106"/>
      <c r="I99" s="108"/>
      <c r="J99" s="106"/>
      <c r="K99" s="108"/>
      <c r="L99" s="106"/>
      <c r="M99" s="108"/>
      <c r="N99" s="106"/>
      <c r="O99" s="108"/>
      <c r="P99" s="106">
        <f>SUM(Misc[[#This Row],[January]:[December]])</f>
        <v>0</v>
      </c>
      <c r="Q99" s="12"/>
    </row>
    <row r="100" spans="1:17" ht="15.95" customHeight="1" x14ac:dyDescent="0.2">
      <c r="B100" s="30"/>
      <c r="C100" s="17" t="s">
        <v>52</v>
      </c>
      <c r="D100" s="106"/>
      <c r="E100" s="108"/>
      <c r="F100" s="106"/>
      <c r="G100" s="108"/>
      <c r="H100" s="106"/>
      <c r="I100" s="108"/>
      <c r="J100" s="106"/>
      <c r="K100" s="108"/>
      <c r="L100" s="106"/>
      <c r="M100" s="108"/>
      <c r="N100" s="106"/>
      <c r="O100" s="108"/>
      <c r="P100" s="106">
        <f>SUM(Misc[[#This Row],[January]:[December]])</f>
        <v>0</v>
      </c>
      <c r="Q100" s="2"/>
    </row>
    <row r="101" spans="1:17" ht="15.95" customHeight="1" x14ac:dyDescent="0.2">
      <c r="B101" s="30"/>
      <c r="C101" s="17" t="s">
        <v>52</v>
      </c>
      <c r="D101" s="106"/>
      <c r="E101" s="108"/>
      <c r="F101" s="106"/>
      <c r="G101" s="108"/>
      <c r="H101" s="106"/>
      <c r="I101" s="108"/>
      <c r="J101" s="106"/>
      <c r="K101" s="108"/>
      <c r="L101" s="106"/>
      <c r="M101" s="108"/>
      <c r="N101" s="106"/>
      <c r="O101" s="108"/>
      <c r="P101" s="106">
        <f>SUM(Misc[[#This Row],[January]:[December]])</f>
        <v>0</v>
      </c>
      <c r="Q101" s="12"/>
    </row>
    <row r="102" spans="1:17" ht="15.95" customHeight="1" x14ac:dyDescent="0.2">
      <c r="B102" s="30"/>
      <c r="C102" s="17" t="s">
        <v>52</v>
      </c>
      <c r="D102" s="106"/>
      <c r="E102" s="108"/>
      <c r="F102" s="106"/>
      <c r="G102" s="108"/>
      <c r="H102" s="106"/>
      <c r="I102" s="108"/>
      <c r="J102" s="106"/>
      <c r="K102" s="108"/>
      <c r="L102" s="106"/>
      <c r="M102" s="108"/>
      <c r="N102" s="106"/>
      <c r="O102" s="108"/>
      <c r="P102" s="106">
        <f>SUM(Misc[[#This Row],[January]:[December]])</f>
        <v>0</v>
      </c>
      <c r="Q102" s="2"/>
    </row>
    <row r="103" spans="1:17" ht="21" customHeight="1" thickBot="1" x14ac:dyDescent="0.25">
      <c r="C103" s="42" t="s">
        <v>55</v>
      </c>
      <c r="D103" s="99">
        <f>SUBTOTAL(109,Misc[January])</f>
        <v>0</v>
      </c>
      <c r="E103" s="100">
        <f>SUBTOTAL(109,Misc[February])</f>
        <v>0</v>
      </c>
      <c r="F103" s="99">
        <f>SUBTOTAL(109,Misc[March])</f>
        <v>0</v>
      </c>
      <c r="G103" s="100">
        <f>SUBTOTAL(109,Misc[April])</f>
        <v>0</v>
      </c>
      <c r="H103" s="99">
        <f>SUBTOTAL(109,Misc[May])</f>
        <v>0</v>
      </c>
      <c r="I103" s="100">
        <f>SUBTOTAL(109,Misc[June])</f>
        <v>0</v>
      </c>
      <c r="J103" s="99">
        <f>SUBTOTAL(109,Misc[July])</f>
        <v>0</v>
      </c>
      <c r="K103" s="100">
        <f>SUBTOTAL(109,Misc[August])</f>
        <v>0</v>
      </c>
      <c r="L103" s="99">
        <f>SUBTOTAL(109,Misc[September])</f>
        <v>0</v>
      </c>
      <c r="M103" s="100">
        <f>SUBTOTAL(109,Misc[October])</f>
        <v>0</v>
      </c>
      <c r="N103" s="99">
        <f>SUBTOTAL(109,Misc[November])</f>
        <v>0</v>
      </c>
      <c r="O103" s="100">
        <f>SUBTOTAL(109,Misc[December])</f>
        <v>0</v>
      </c>
      <c r="P103" s="99">
        <f>SUBTOTAL(109,Misc[Year])</f>
        <v>0</v>
      </c>
      <c r="Q103" s="43"/>
    </row>
    <row r="104" spans="1:17" ht="20.100000000000001" customHeight="1" thickTop="1" x14ac:dyDescent="0.2"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</row>
    <row r="105" spans="1:17" ht="21" customHeight="1" x14ac:dyDescent="0.2">
      <c r="A105" s="48" t="s">
        <v>124</v>
      </c>
      <c r="B105" s="23"/>
      <c r="C105" s="25" t="s">
        <v>69</v>
      </c>
      <c r="D105" s="116" t="s">
        <v>70</v>
      </c>
      <c r="E105" s="117" t="s">
        <v>71</v>
      </c>
      <c r="F105" s="116" t="s">
        <v>73</v>
      </c>
      <c r="G105" s="117" t="s">
        <v>74</v>
      </c>
      <c r="H105" s="116" t="s">
        <v>72</v>
      </c>
      <c r="I105" s="117" t="s">
        <v>75</v>
      </c>
      <c r="J105" s="116" t="s">
        <v>76</v>
      </c>
      <c r="K105" s="117" t="s">
        <v>77</v>
      </c>
      <c r="L105" s="116" t="s">
        <v>78</v>
      </c>
      <c r="M105" s="117" t="s">
        <v>79</v>
      </c>
      <c r="N105" s="116" t="s">
        <v>80</v>
      </c>
      <c r="O105" s="117" t="s">
        <v>81</v>
      </c>
      <c r="P105" s="116" t="s">
        <v>82</v>
      </c>
      <c r="Q105" s="51" t="s">
        <v>125</v>
      </c>
    </row>
    <row r="106" spans="1:17" ht="15.95" customHeight="1" x14ac:dyDescent="0.2">
      <c r="B106" s="23"/>
      <c r="C106" s="26" t="s">
        <v>53</v>
      </c>
      <c r="D106" s="109">
        <f>SUM(Misc[[#Totals],[January]],Financial[[#Totals],[January]],Personal[[#Totals],[January]],DuesAndSubscription[[#Totals],[January]],Recreation[[#Totals],[January]],Vacations[[#Totals],[January]],Health[[#Totals],[January]],Entertainment[[#Totals],[January]],Transportation[[#Totals],[January]],Daily[[#Totals],[January]],Home[[#Totals],[January]])</f>
        <v>0</v>
      </c>
      <c r="E106" s="110">
        <f>SUM(Misc[[#Totals],[February]],Financial[[#Totals],[February]],Personal[[#Totals],[February]],DuesAndSubscription[[#Totals],[February]],Recreation[[#Totals],[February]],Vacations[[#Totals],[February]],Health[[#Totals],[February]],Entertainment[[#Totals],[February]],Transportation[[#Totals],[February]],Daily[[#Totals],[February]],Home[[#Totals],[February]])</f>
        <v>0</v>
      </c>
      <c r="F106" s="109">
        <f>SUM(Misc[[#Totals],[March]],Financial[[#Totals],[March]],Personal[[#Totals],[March]],DuesAndSubscription[[#Totals],[March]],Recreation[[#Totals],[March]],Vacations[[#Totals],[March]],Health[[#Totals],[March]],Entertainment[[#Totals],[March]],Transportation[[#Totals],[March]],Daily[[#Totals],[March]],Home[[#Totals],[March]])</f>
        <v>0</v>
      </c>
      <c r="G106" s="110">
        <f>SUM(Misc[[#Totals],[April]],Financial[[#Totals],[April]],Personal[[#Totals],[April]],DuesAndSubscription[[#Totals],[April]],Recreation[[#Totals],[April]],Vacations[[#Totals],[April]],Health[[#Totals],[April]],Entertainment[[#Totals],[April]],Transportation[[#Totals],[April]],Daily[[#Totals],[April]],Home[[#Totals],[April]])</f>
        <v>0</v>
      </c>
      <c r="H106" s="109">
        <f>SUM(Misc[[#Totals],[May]],Financial[[#Totals],[May]],Personal[[#Totals],[May]],DuesAndSubscription[[#Totals],[May]],Recreation[[#Totals],[May]],Vacations[[#Totals],[May]],Health[[#Totals],[May]],Entertainment[[#Totals],[May]],Transportation[[#Totals],[May]],Daily[[#Totals],[May]],Home[[#Totals],[May]])</f>
        <v>0</v>
      </c>
      <c r="I106" s="110">
        <f>SUM(Misc[[#Totals],[June]],Financial[[#Totals],[June]],Personal[[#Totals],[June]],DuesAndSubscription[[#Totals],[June]],Recreation[[#Totals],[June]],Vacations[[#Totals],[June]],Health[[#Totals],[June]],Entertainment[[#Totals],[June]],Transportation[[#Totals],[June]],Daily[[#Totals],[June]],Home[[#Totals],[June]])</f>
        <v>0</v>
      </c>
      <c r="J106" s="109">
        <f>SUM(Misc[[#Totals],[July]],Financial[[#Totals],[July]],Personal[[#Totals],[July]],DuesAndSubscription[[#Totals],[July]],Recreation[[#Totals],[July]],Vacations[[#Totals],[July]],Health[[#Totals],[July]],Entertainment[[#Totals],[July]],Transportation[[#Totals],[July]],Daily[[#Totals],[July]],Home[[#Totals],[July]])</f>
        <v>0</v>
      </c>
      <c r="K106" s="110">
        <f>SUM(Misc[[#Totals],[August]],Financial[[#Totals],[August]],Personal[[#Totals],[August]],DuesAndSubscription[[#Totals],[August]],Recreation[[#Totals],[August]],Vacations[[#Totals],[August]],Health[[#Totals],[August]],Entertainment[[#Totals],[August]],Transportation[[#Totals],[August]],Daily[[#Totals],[August]],Home[[#Totals],[August]])</f>
        <v>0</v>
      </c>
      <c r="L106" s="109">
        <f>SUM(Misc[[#Totals],[September]],Financial[[#Totals],[September]],Personal[[#Totals],[September]],DuesAndSubscription[[#Totals],[September]],Recreation[[#Totals],[September]],Vacations[[#Totals],[September]],Health[[#Totals],[September]],Entertainment[[#Totals],[September]],Transportation[[#Totals],[September]],Daily[[#Totals],[September]],Home[[#Totals],[September]])</f>
        <v>0</v>
      </c>
      <c r="M106" s="110">
        <f>SUM(Misc[[#Totals],[October]],Financial[[#Totals],[October]],Personal[[#Totals],[October]],DuesAndSubscription[[#Totals],[October]],Recreation[[#Totals],[October]],Vacations[[#Totals],[October]],Health[[#Totals],[October]],Entertainment[[#Totals],[October]],Transportation[[#Totals],[October]],Daily[[#Totals],[October]],Home[[#Totals],[October]])</f>
        <v>0</v>
      </c>
      <c r="N106" s="109">
        <f>SUM(Misc[[#Totals],[November]],Financial[[#Totals],[November]],Personal[[#Totals],[November]],DuesAndSubscription[[#Totals],[November]],Recreation[[#Totals],[November]],Vacations[[#Totals],[November]],Health[[#Totals],[November]],Entertainment[[#Totals],[November]],Transportation[[#Totals],[November]],Daily[[#Totals],[November]],Home[[#Totals],[November]])</f>
        <v>0</v>
      </c>
      <c r="O106" s="110">
        <f>SUM(Misc[[#Totals],[December]],Financial[[#Totals],[December]],Personal[[#Totals],[December]],DuesAndSubscription[[#Totals],[December]],Recreation[[#Totals],[December]],Vacations[[#Totals],[December]],Health[[#Totals],[December]],Entertainment[[#Totals],[December]],Transportation[[#Totals],[December]],Daily[[#Totals],[December]],Home[[#Totals],[December]])</f>
        <v>0</v>
      </c>
      <c r="P106" s="109">
        <f>SUM(Misc[[#Totals],[Year]],Financial[[#Totals],[Year]],Personal[[#Totals],[Year]],DuesAndSubscription[[#Totals],[Year]],Recreation[[#Totals],[Year]],Vacations[[#Totals],[Year]],Health[[#Totals],[Year]],Entertainment[[#Totals],[Year]],Transportation[[#Totals],[Year]],Daily[[#Totals],[Year]],Home[[#Totals],[Year]])</f>
        <v>0</v>
      </c>
      <c r="Q106" s="27"/>
    </row>
    <row r="107" spans="1:17" ht="15.95" customHeight="1" x14ac:dyDescent="0.2">
      <c r="B107" s="23"/>
      <c r="C107" s="26" t="s">
        <v>54</v>
      </c>
      <c r="D107" s="109">
        <f>Income[[#Totals],[Column1]]-D106</f>
        <v>0</v>
      </c>
      <c r="E107" s="110">
        <f>Income[[#Totals],[February]]-E106</f>
        <v>0</v>
      </c>
      <c r="F107" s="109">
        <f>Income[[#Totals],[March]]-F106</f>
        <v>0</v>
      </c>
      <c r="G107" s="110">
        <f>Income[[#Totals],[April]]-G106</f>
        <v>0</v>
      </c>
      <c r="H107" s="109">
        <f>Income[[#Totals],[May]]-H106</f>
        <v>0</v>
      </c>
      <c r="I107" s="110">
        <f>Income[[#Totals],[June]]-I106</f>
        <v>0</v>
      </c>
      <c r="J107" s="109">
        <f>Income[[#Totals],[July]]-J106</f>
        <v>0</v>
      </c>
      <c r="K107" s="110">
        <f>Income[[#Totals],[August]]-K106</f>
        <v>0</v>
      </c>
      <c r="L107" s="109">
        <f>Income[[#Totals],[September]]-L106</f>
        <v>0</v>
      </c>
      <c r="M107" s="110">
        <f>Income[[#Totals],[October]]-M106</f>
        <v>0</v>
      </c>
      <c r="N107" s="109">
        <f>Income[[#Totals],[November]]-N106</f>
        <v>0</v>
      </c>
      <c r="O107" s="110">
        <f>Income[[#Totals],[December]]-O106</f>
        <v>0</v>
      </c>
      <c r="P107" s="109">
        <f>Income[[#Totals],[Year]]-P106</f>
        <v>0</v>
      </c>
      <c r="Q107" s="27"/>
    </row>
    <row r="108" spans="1:17" ht="8.1" customHeight="1" x14ac:dyDescent="0.2">
      <c r="B108" s="23"/>
      <c r="C108" s="28"/>
      <c r="D108" s="29"/>
      <c r="E108" s="28"/>
      <c r="F108" s="29"/>
      <c r="G108" s="28"/>
      <c r="H108" s="29"/>
      <c r="I108" s="28"/>
      <c r="J108" s="29"/>
      <c r="K108" s="28"/>
      <c r="L108" s="29"/>
      <c r="M108" s="28"/>
      <c r="N108" s="29"/>
      <c r="O108" s="28"/>
      <c r="P108" s="29"/>
      <c r="Q108" s="28"/>
    </row>
    <row r="109" spans="1:17" ht="30" customHeight="1" x14ac:dyDescent="0.2">
      <c r="C109" s="118" t="s">
        <v>170</v>
      </c>
      <c r="D109" s="111">
        <f>SUM(D107)</f>
        <v>0</v>
      </c>
      <c r="E109" s="111">
        <f>SUM(E107)</f>
        <v>0</v>
      </c>
      <c r="F109" s="111">
        <f>SUM(F107)</f>
        <v>0</v>
      </c>
      <c r="G109" s="111">
        <f>SUM(G107)</f>
        <v>0</v>
      </c>
      <c r="H109" s="111">
        <f>SUM(H107)</f>
        <v>0</v>
      </c>
      <c r="I109" s="111">
        <f>SUM(I107)</f>
        <v>0</v>
      </c>
      <c r="J109" s="111">
        <f>SUM(J107)</f>
        <v>0</v>
      </c>
      <c r="K109" s="111">
        <f>SUM(K107)</f>
        <v>0</v>
      </c>
      <c r="L109" s="111">
        <f>SUM(L107)</f>
        <v>0</v>
      </c>
      <c r="M109" s="111">
        <f>SUM(M107)</f>
        <v>0</v>
      </c>
      <c r="N109" s="111">
        <f>SUM(N107)</f>
        <v>0</v>
      </c>
      <c r="O109" s="111">
        <f>SUM(O107)</f>
        <v>0</v>
      </c>
    </row>
    <row r="110" spans="1:17" ht="30" customHeight="1" x14ac:dyDescent="0.2">
      <c r="C110" s="118"/>
    </row>
    <row r="112" spans="1:17" ht="30" customHeight="1" x14ac:dyDescent="0.2">
      <c r="C112" s="55"/>
    </row>
    <row r="114" spans="8:8" ht="30" customHeight="1" x14ac:dyDescent="0.2">
      <c r="H114" s="111"/>
    </row>
  </sheetData>
  <mergeCells count="13">
    <mergeCell ref="C109:C110"/>
    <mergeCell ref="B2:D2"/>
    <mergeCell ref="E2:P2"/>
    <mergeCell ref="C28:Q28"/>
    <mergeCell ref="C104:Q104"/>
    <mergeCell ref="C96:Q96"/>
    <mergeCell ref="C88:Q88"/>
    <mergeCell ref="C80:Q80"/>
    <mergeCell ref="C70:Q70"/>
    <mergeCell ref="C63:Q63"/>
    <mergeCell ref="C54:Q54"/>
    <mergeCell ref="C44:Q44"/>
    <mergeCell ref="C37:Q37"/>
  </mergeCells>
  <phoneticPr fontId="20" type="noConversion"/>
  <conditionalFormatting sqref="D107:P107">
    <cfRule type="cellIs" dxfId="353" priority="1" operator="lessThan">
      <formula>0</formula>
    </cfRule>
  </conditionalFormatting>
  <printOptions horizontalCentered="1"/>
  <pageMargins left="0.4" right="0.4" top="0.4" bottom="0.4" header="0.3" footer="0.3"/>
  <pageSetup scale="72" fitToHeight="0" orientation="landscape" r:id="rId1"/>
  <headerFooter differentFirst="1">
    <oddFooter>Page &amp;P of &amp;N</oddFooter>
  </headerFooter>
  <ignoredErrors>
    <ignoredError sqref="D106:P106" calculatedColumn="1"/>
    <ignoredError sqref="P6:P8 P13:P17 P21:P26 P30:P35 P39:P42 P46:P52 P56:P61 P65:P68 P72:P78 P82:P86 P90:P94 P98:P102" emptyCellReference="1"/>
  </ignoredErrors>
  <drawing r:id="rId2"/>
  <tableParts count="13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</tableParts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high="1" low="1" xr2:uid="{00000000-0003-0000-0000-00000D000000}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BUDGET'!D98:O98</xm:f>
              <xm:sqref>Q98</xm:sqref>
            </x14:sparkline>
            <x14:sparkline>
              <xm:f>'PERSONAL BUDGET'!D99:O99</xm:f>
              <xm:sqref>Q99</xm:sqref>
            </x14:sparkline>
            <x14:sparkline>
              <xm:f>'PERSONAL BUDGET'!D100:O100</xm:f>
              <xm:sqref>Q100</xm:sqref>
            </x14:sparkline>
            <x14:sparkline>
              <xm:f>'PERSONAL BUDGET'!D101:O101</xm:f>
              <xm:sqref>Q101</xm:sqref>
            </x14:sparkline>
            <x14:sparkline>
              <xm:f>'PERSONAL BUDGET'!D102:O102</xm:f>
              <xm:sqref>Q102</xm:sqref>
            </x14:sparkline>
            <x14:sparkline>
              <xm:f>'PERSONAL BUDGET'!D103:O103</xm:f>
              <xm:sqref>Q103</xm:sqref>
            </x14:sparkline>
          </x14:sparklines>
        </x14:sparklineGroup>
        <x14:sparklineGroup displayEmptyCellsAs="gap" high="1" low="1" xr2:uid="{00000000-0003-0000-0000-00000B000000}">
          <x14:colorSeries theme="0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BUDGET'!D106:O106</xm:f>
              <xm:sqref>Q106</xm:sqref>
            </x14:sparkline>
            <x14:sparkline>
              <xm:f>'PERSONAL BUDGET'!D107:O107</xm:f>
              <xm:sqref>Q107</xm:sqref>
            </x14:sparkline>
          </x14:sparklines>
        </x14:sparklineGroup>
        <x14:sparklineGroup displayEmptyCellsAs="gap" high="1" low="1" xr2:uid="{00000000-0003-0000-0000-00000A000000}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BUDGET'!D90:O90</xm:f>
              <xm:sqref>Q90</xm:sqref>
            </x14:sparkline>
            <x14:sparkline>
              <xm:f>'PERSONAL BUDGET'!D91:O91</xm:f>
              <xm:sqref>Q91</xm:sqref>
            </x14:sparkline>
            <x14:sparkline>
              <xm:f>'PERSONAL BUDGET'!D92:O92</xm:f>
              <xm:sqref>Q92</xm:sqref>
            </x14:sparkline>
            <x14:sparkline>
              <xm:f>'PERSONAL BUDGET'!D93:O93</xm:f>
              <xm:sqref>Q93</xm:sqref>
            </x14:sparkline>
            <x14:sparkline>
              <xm:f>'PERSONAL BUDGET'!D94:O94</xm:f>
              <xm:sqref>Q94</xm:sqref>
            </x14:sparkline>
            <x14:sparkline>
              <xm:f>'PERSONAL BUDGET'!D95:O95</xm:f>
              <xm:sqref>Q95</xm:sqref>
            </x14:sparkline>
          </x14:sparklines>
        </x14:sparklineGroup>
        <x14:sparklineGroup displayEmptyCellsAs="gap" high="1" low="1" xr2:uid="{00000000-0003-0000-0000-000009000000}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BUDGET'!D82:O82</xm:f>
              <xm:sqref>Q82</xm:sqref>
            </x14:sparkline>
            <x14:sparkline>
              <xm:f>'PERSONAL BUDGET'!D83:O83</xm:f>
              <xm:sqref>Q83</xm:sqref>
            </x14:sparkline>
            <x14:sparkline>
              <xm:f>'PERSONAL BUDGET'!D84:O84</xm:f>
              <xm:sqref>Q84</xm:sqref>
            </x14:sparkline>
            <x14:sparkline>
              <xm:f>'PERSONAL BUDGET'!D85:O85</xm:f>
              <xm:sqref>Q85</xm:sqref>
            </x14:sparkline>
            <x14:sparkline>
              <xm:f>'PERSONAL BUDGET'!D86:O86</xm:f>
              <xm:sqref>Q86</xm:sqref>
            </x14:sparkline>
            <x14:sparkline>
              <xm:f>'PERSONAL BUDGET'!D87:O87</xm:f>
              <xm:sqref>Q87</xm:sqref>
            </x14:sparkline>
          </x14:sparklines>
        </x14:sparklineGroup>
        <x14:sparklineGroup displayEmptyCellsAs="gap" high="1" low="1" xr2:uid="{00000000-0003-0000-0000-000008000000}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BUDGET'!D72:O72</xm:f>
              <xm:sqref>Q72</xm:sqref>
            </x14:sparkline>
            <x14:sparkline>
              <xm:f>'PERSONAL BUDGET'!D73:O73</xm:f>
              <xm:sqref>Q73</xm:sqref>
            </x14:sparkline>
            <x14:sparkline>
              <xm:f>'PERSONAL BUDGET'!D74:O74</xm:f>
              <xm:sqref>Q74</xm:sqref>
            </x14:sparkline>
            <x14:sparkline>
              <xm:f>'PERSONAL BUDGET'!D75:O75</xm:f>
              <xm:sqref>Q75</xm:sqref>
            </x14:sparkline>
            <x14:sparkline>
              <xm:f>'PERSONAL BUDGET'!D76:O76</xm:f>
              <xm:sqref>Q76</xm:sqref>
            </x14:sparkline>
            <x14:sparkline>
              <xm:f>'PERSONAL BUDGET'!D77:O77</xm:f>
              <xm:sqref>Q77</xm:sqref>
            </x14:sparkline>
            <x14:sparkline>
              <xm:f>'PERSONAL BUDGET'!D78:O78</xm:f>
              <xm:sqref>Q78</xm:sqref>
            </x14:sparkline>
            <x14:sparkline>
              <xm:f>'PERSONAL BUDGET'!D79:O79</xm:f>
              <xm:sqref>Q79</xm:sqref>
            </x14:sparkline>
          </x14:sparklines>
        </x14:sparklineGroup>
        <x14:sparklineGroup displayEmptyCellsAs="gap" high="1" low="1" xr2:uid="{00000000-0003-0000-0000-000007000000}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BUDGET'!D65:O65</xm:f>
              <xm:sqref>Q65</xm:sqref>
            </x14:sparkline>
            <x14:sparkline>
              <xm:f>'PERSONAL BUDGET'!D66:O66</xm:f>
              <xm:sqref>Q66</xm:sqref>
            </x14:sparkline>
            <x14:sparkline>
              <xm:f>'PERSONAL BUDGET'!D67:O67</xm:f>
              <xm:sqref>Q67</xm:sqref>
            </x14:sparkline>
            <x14:sparkline>
              <xm:f>'PERSONAL BUDGET'!D68:O68</xm:f>
              <xm:sqref>Q68</xm:sqref>
            </x14:sparkline>
            <x14:sparkline>
              <xm:f>'PERSONAL BUDGET'!D69:O69</xm:f>
              <xm:sqref>Q69</xm:sqref>
            </x14:sparkline>
          </x14:sparklines>
        </x14:sparklineGroup>
        <x14:sparklineGroup displayEmptyCellsAs="gap" high="1" low="1" xr2:uid="{00000000-0003-0000-0000-000006000000}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BUDGET'!D56:O56</xm:f>
              <xm:sqref>Q56</xm:sqref>
            </x14:sparkline>
            <x14:sparkline>
              <xm:f>'PERSONAL BUDGET'!D57:O57</xm:f>
              <xm:sqref>Q57</xm:sqref>
            </x14:sparkline>
            <x14:sparkline>
              <xm:f>'PERSONAL BUDGET'!D58:O58</xm:f>
              <xm:sqref>Q58</xm:sqref>
            </x14:sparkline>
            <x14:sparkline>
              <xm:f>'PERSONAL BUDGET'!D59:O59</xm:f>
              <xm:sqref>Q59</xm:sqref>
            </x14:sparkline>
            <x14:sparkline>
              <xm:f>'PERSONAL BUDGET'!D60:O60</xm:f>
              <xm:sqref>Q60</xm:sqref>
            </x14:sparkline>
            <x14:sparkline>
              <xm:f>'PERSONAL BUDGET'!D61:O61</xm:f>
              <xm:sqref>Q61</xm:sqref>
            </x14:sparkline>
            <x14:sparkline>
              <xm:f>'PERSONAL BUDGET'!D62:O62</xm:f>
              <xm:sqref>Q62</xm:sqref>
            </x14:sparkline>
          </x14:sparklines>
        </x14:sparklineGroup>
        <x14:sparklineGroup displayEmptyCellsAs="gap" high="1" low="1" xr2:uid="{00000000-0003-0000-0000-000005000000}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BUDGET'!D46:O46</xm:f>
              <xm:sqref>Q46</xm:sqref>
            </x14:sparkline>
            <x14:sparkline>
              <xm:f>'PERSONAL BUDGET'!D47:O47</xm:f>
              <xm:sqref>Q47</xm:sqref>
            </x14:sparkline>
            <x14:sparkline>
              <xm:f>'PERSONAL BUDGET'!D48:O48</xm:f>
              <xm:sqref>Q48</xm:sqref>
            </x14:sparkline>
            <x14:sparkline>
              <xm:f>'PERSONAL BUDGET'!D49:O49</xm:f>
              <xm:sqref>Q49</xm:sqref>
            </x14:sparkline>
            <x14:sparkline>
              <xm:f>'PERSONAL BUDGET'!D50:O50</xm:f>
              <xm:sqref>Q50</xm:sqref>
            </x14:sparkline>
            <x14:sparkline>
              <xm:f>'PERSONAL BUDGET'!D51:O51</xm:f>
              <xm:sqref>Q51</xm:sqref>
            </x14:sparkline>
            <x14:sparkline>
              <xm:f>'PERSONAL BUDGET'!D52:O52</xm:f>
              <xm:sqref>Q52</xm:sqref>
            </x14:sparkline>
            <x14:sparkline>
              <xm:f>'PERSONAL BUDGET'!D53:O53</xm:f>
              <xm:sqref>Q53</xm:sqref>
            </x14:sparkline>
          </x14:sparklines>
        </x14:sparklineGroup>
        <x14:sparklineGroup displayEmptyCellsAs="gap" high="1" low="1" xr2:uid="{00000000-0003-0000-0000-000004000000}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BUDGET'!D39:O39</xm:f>
              <xm:sqref>Q39</xm:sqref>
            </x14:sparkline>
            <x14:sparkline>
              <xm:f>'PERSONAL BUDGET'!D40:O40</xm:f>
              <xm:sqref>Q40</xm:sqref>
            </x14:sparkline>
            <x14:sparkline>
              <xm:f>'PERSONAL BUDGET'!D41:O41</xm:f>
              <xm:sqref>Q41</xm:sqref>
            </x14:sparkline>
            <x14:sparkline>
              <xm:f>'PERSONAL BUDGET'!D42:O42</xm:f>
              <xm:sqref>Q42</xm:sqref>
            </x14:sparkline>
            <x14:sparkline>
              <xm:f>'PERSONAL BUDGET'!D43:O43</xm:f>
              <xm:sqref>Q43</xm:sqref>
            </x14:sparkline>
          </x14:sparklines>
        </x14:sparklineGroup>
        <x14:sparklineGroup displayEmptyCellsAs="gap" high="1" low="1" xr2:uid="{00000000-0003-0000-0000-000003000000}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BUDGET'!D30:O30</xm:f>
              <xm:sqref>Q30</xm:sqref>
            </x14:sparkline>
            <x14:sparkline>
              <xm:f>'PERSONAL BUDGET'!D31:O31</xm:f>
              <xm:sqref>Q31</xm:sqref>
            </x14:sparkline>
            <x14:sparkline>
              <xm:f>'PERSONAL BUDGET'!D32:O32</xm:f>
              <xm:sqref>Q32</xm:sqref>
            </x14:sparkline>
            <x14:sparkline>
              <xm:f>'PERSONAL BUDGET'!D33:O33</xm:f>
              <xm:sqref>Q33</xm:sqref>
            </x14:sparkline>
            <x14:sparkline>
              <xm:f>'PERSONAL BUDGET'!D34:O34</xm:f>
              <xm:sqref>Q34</xm:sqref>
            </x14:sparkline>
            <x14:sparkline>
              <xm:f>'PERSONAL BUDGET'!D35:O35</xm:f>
              <xm:sqref>Q35</xm:sqref>
            </x14:sparkline>
            <x14:sparkline>
              <xm:f>'PERSONAL BUDGET'!D36:O36</xm:f>
              <xm:sqref>Q36</xm:sqref>
            </x14:sparkline>
          </x14:sparklines>
        </x14:sparklineGroup>
        <x14:sparklineGroup displayEmptyCellsAs="gap" high="1" low="1" xr2:uid="{00000000-0003-0000-0000-000002000000}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BUDGET'!D21:O21</xm:f>
              <xm:sqref>Q21</xm:sqref>
            </x14:sparkline>
            <x14:sparkline>
              <xm:f>'PERSONAL BUDGET'!D22:O22</xm:f>
              <xm:sqref>Q22</xm:sqref>
            </x14:sparkline>
            <x14:sparkline>
              <xm:f>'PERSONAL BUDGET'!D23:O23</xm:f>
              <xm:sqref>Q23</xm:sqref>
            </x14:sparkline>
            <x14:sparkline>
              <xm:f>'PERSONAL BUDGET'!D24:O24</xm:f>
              <xm:sqref>Q24</xm:sqref>
            </x14:sparkline>
            <x14:sparkline>
              <xm:f>'PERSONAL BUDGET'!D25:O25</xm:f>
              <xm:sqref>Q25</xm:sqref>
            </x14:sparkline>
            <x14:sparkline>
              <xm:f>'PERSONAL BUDGET'!D26:O26</xm:f>
              <xm:sqref>Q26</xm:sqref>
            </x14:sparkline>
            <x14:sparkline>
              <xm:f>'PERSONAL BUDGET'!D27:O27</xm:f>
              <xm:sqref>Q27</xm:sqref>
            </x14:sparkline>
          </x14:sparklines>
        </x14:sparklineGroup>
        <x14:sparklineGroup displayEmptyCellsAs="gap" high="1" low="1" xr2:uid="{00000000-0003-0000-0000-000001000000}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BUDGET'!D13:O13</xm:f>
              <xm:sqref>Q13</xm:sqref>
            </x14:sparkline>
          </x14:sparklines>
        </x14:sparklineGroup>
        <x14:sparklineGroup displayEmptyCellsAs="gap" high="1" low="1" xr2:uid="{00000000-0003-0000-0000-00000C000000}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BUDGET'!D6:O6</xm:f>
              <xm:sqref>Q6</xm:sqref>
            </x14:sparkline>
            <x14:sparkline>
              <xm:f>'PERSONAL BUDGET'!D7:O7</xm:f>
              <xm:sqref>Q7</xm:sqref>
            </x14:sparkline>
            <x14:sparkline>
              <xm:f>'PERSONAL BUDGET'!D8:O8</xm:f>
              <xm:sqref>Q8</xm:sqref>
            </x14:sparkline>
            <x14:sparkline>
              <xm:f>'PERSONAL BUDGET'!D9:O9</xm:f>
              <xm:sqref>Q9</xm:sqref>
            </x14:sparkline>
          </x14:sparklines>
        </x14:sparklineGroup>
        <x14:sparklineGroup displayEmptyCellsAs="gap" high="1" low="1" xr2:uid="{00000000-0003-0000-0000-000000000000}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BUDGET'!D14:O14</xm:f>
              <xm:sqref>Q14</xm:sqref>
            </x14:sparkline>
            <x14:sparkline>
              <xm:f>'PERSONAL BUDGET'!D15:O15</xm:f>
              <xm:sqref>Q15</xm:sqref>
            </x14:sparkline>
            <x14:sparkline>
              <xm:f>'PERSONAL BUDGET'!D16:O16</xm:f>
              <xm:sqref>Q16</xm:sqref>
            </x14:sparkline>
            <x14:sparkline>
              <xm:f>'PERSONAL BUDGET'!D17:O17</xm:f>
              <xm:sqref>Q17</xm:sqref>
            </x14:sparkline>
            <x14:sparkline>
              <xm:f>'PERSONAL BUDGET'!D18:O18</xm:f>
              <xm:sqref>Q18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1B5D1-E51A-442A-88C1-E70981906959}">
  <dimension ref="B1:Q84"/>
  <sheetViews>
    <sheetView showGridLines="0" workbookViewId="0">
      <selection activeCell="K13" sqref="K13"/>
    </sheetView>
  </sheetViews>
  <sheetFormatPr defaultColWidth="10.625" defaultRowHeight="12.75" x14ac:dyDescent="0.2"/>
  <cols>
    <col min="1" max="1" width="6" style="56" customWidth="1"/>
    <col min="2" max="2" width="34.125" style="56" customWidth="1"/>
    <col min="3" max="3" width="15.875" style="58" customWidth="1"/>
    <col min="4" max="4" width="16.125" style="57" customWidth="1"/>
    <col min="5" max="5" width="21.875" style="58" customWidth="1"/>
    <col min="6" max="6" width="16.625" style="57" customWidth="1"/>
    <col min="7" max="7" width="10.25" style="56" customWidth="1"/>
    <col min="8" max="16384" width="10.625" style="56"/>
  </cols>
  <sheetData>
    <row r="1" spans="2:17" s="58" customFormat="1" ht="36" x14ac:dyDescent="0.5">
      <c r="B1" s="73" t="s">
        <v>160</v>
      </c>
      <c r="F1" s="122" t="s">
        <v>172</v>
      </c>
      <c r="H1" s="72"/>
    </row>
    <row r="3" spans="2:17" s="58" customFormat="1" ht="19.5" x14ac:dyDescent="0.25">
      <c r="B3" s="64" t="s">
        <v>154</v>
      </c>
    </row>
    <row r="4" spans="2:17" s="58" customFormat="1" x14ac:dyDescent="0.2">
      <c r="B4" s="58" t="s">
        <v>153</v>
      </c>
    </row>
    <row r="5" spans="2:17" s="58" customFormat="1" x14ac:dyDescent="0.2">
      <c r="B5" s="58" t="s">
        <v>152</v>
      </c>
    </row>
    <row r="6" spans="2:17" x14ac:dyDescent="0.2">
      <c r="H6" s="83" t="s">
        <v>159</v>
      </c>
      <c r="I6" s="83"/>
      <c r="J6" s="83"/>
      <c r="K6" s="83"/>
      <c r="L6" s="83"/>
      <c r="M6" s="83"/>
      <c r="N6" s="83"/>
      <c r="O6" s="83"/>
      <c r="P6" s="83"/>
      <c r="Q6" s="83"/>
    </row>
    <row r="7" spans="2:17" ht="12.75" customHeight="1" x14ac:dyDescent="0.2">
      <c r="B7" s="63" t="s">
        <v>130</v>
      </c>
      <c r="C7" s="71" t="s">
        <v>129</v>
      </c>
      <c r="D7" s="70" t="s">
        <v>128</v>
      </c>
      <c r="E7" s="71" t="s">
        <v>127</v>
      </c>
      <c r="F7" s="70" t="s">
        <v>151</v>
      </c>
      <c r="H7" s="120"/>
      <c r="I7" s="119"/>
      <c r="J7" s="83"/>
      <c r="K7" s="83"/>
      <c r="L7" s="83"/>
      <c r="M7" s="83"/>
      <c r="N7" s="83"/>
      <c r="O7" s="83"/>
      <c r="P7" s="83"/>
      <c r="Q7" s="83"/>
    </row>
    <row r="8" spans="2:17" x14ac:dyDescent="0.2">
      <c r="B8" s="56" t="s">
        <v>164</v>
      </c>
      <c r="C8" s="58">
        <v>0</v>
      </c>
      <c r="D8" s="57">
        <v>0</v>
      </c>
      <c r="E8" s="58">
        <v>0</v>
      </c>
      <c r="F8" s="57" t="str">
        <f>IF(C8&gt;0, C8/SUM($C$8:$C$28), "")</f>
        <v/>
      </c>
      <c r="G8" s="115"/>
      <c r="H8" s="115"/>
    </row>
    <row r="9" spans="2:17" x14ac:dyDescent="0.2">
      <c r="B9" s="74" t="s">
        <v>165</v>
      </c>
      <c r="C9" s="75">
        <v>0</v>
      </c>
      <c r="D9" s="76">
        <v>0</v>
      </c>
      <c r="E9" s="75">
        <v>0</v>
      </c>
      <c r="F9" s="76" t="str">
        <f>IF(C9&gt;0, C9/SUM($C$8:$C$28), "")</f>
        <v/>
      </c>
      <c r="G9" s="115"/>
      <c r="H9" s="115"/>
    </row>
    <row r="10" spans="2:17" x14ac:dyDescent="0.2">
      <c r="B10" s="74" t="s">
        <v>166</v>
      </c>
      <c r="C10" s="75">
        <v>0</v>
      </c>
      <c r="D10" s="76">
        <v>0</v>
      </c>
      <c r="E10" s="75">
        <v>0</v>
      </c>
      <c r="F10" s="76" t="str">
        <f>IF(C10&gt;0, C10/SUM($C$8:$C$28), "")</f>
        <v/>
      </c>
      <c r="G10" s="115"/>
      <c r="H10" s="115"/>
    </row>
    <row r="11" spans="2:17" x14ac:dyDescent="0.2">
      <c r="B11" s="56" t="s">
        <v>150</v>
      </c>
      <c r="C11" s="58">
        <v>0</v>
      </c>
      <c r="D11" s="57">
        <v>0</v>
      </c>
      <c r="E11" s="58">
        <v>0</v>
      </c>
      <c r="F11" s="57" t="str">
        <f>IF(C11&gt;0, C11/SUM($C$8:$C$28), "")</f>
        <v/>
      </c>
      <c r="G11" s="115"/>
      <c r="H11" s="115"/>
    </row>
    <row r="12" spans="2:17" x14ac:dyDescent="0.2">
      <c r="B12" s="56" t="s">
        <v>150</v>
      </c>
      <c r="C12" s="58">
        <v>0</v>
      </c>
      <c r="D12" s="57">
        <v>0</v>
      </c>
      <c r="E12" s="58">
        <v>0</v>
      </c>
      <c r="F12" s="57" t="str">
        <f>IF(C12&gt;0, C12/SUM($C$8:$C$28), "")</f>
        <v/>
      </c>
      <c r="G12" s="115"/>
      <c r="H12" s="115"/>
    </row>
    <row r="13" spans="2:17" x14ac:dyDescent="0.2">
      <c r="B13" s="56" t="s">
        <v>149</v>
      </c>
      <c r="C13" s="58">
        <v>0</v>
      </c>
      <c r="D13" s="57">
        <v>0</v>
      </c>
      <c r="E13" s="58">
        <v>0</v>
      </c>
      <c r="F13" s="57" t="str">
        <f>IF(C13&gt;0, C13/SUM($C$8:$C$28), "")</f>
        <v/>
      </c>
      <c r="G13" s="115"/>
      <c r="H13" s="115"/>
    </row>
    <row r="14" spans="2:17" x14ac:dyDescent="0.2">
      <c r="B14" s="56" t="s">
        <v>148</v>
      </c>
      <c r="C14" s="58">
        <v>0</v>
      </c>
      <c r="D14" s="57">
        <v>0</v>
      </c>
      <c r="E14" s="58">
        <v>0</v>
      </c>
      <c r="F14" s="57" t="str">
        <f>IF(C14&gt;0, C14/SUM($C$8:$C$28), "")</f>
        <v/>
      </c>
      <c r="G14" s="115"/>
      <c r="H14" s="115"/>
    </row>
    <row r="15" spans="2:17" x14ac:dyDescent="0.2">
      <c r="B15" s="56" t="s">
        <v>147</v>
      </c>
      <c r="C15" s="58">
        <v>0</v>
      </c>
      <c r="D15" s="57">
        <v>0</v>
      </c>
      <c r="E15" s="58">
        <v>0</v>
      </c>
      <c r="F15" s="57" t="str">
        <f>IF(C15&gt;0, C15/SUM($C$8:$C$28), "")</f>
        <v/>
      </c>
      <c r="G15" s="115"/>
      <c r="H15" s="115"/>
    </row>
    <row r="16" spans="2:17" x14ac:dyDescent="0.2">
      <c r="B16" s="77" t="s">
        <v>55</v>
      </c>
      <c r="C16" s="78">
        <f>SUBTOTAL(109,Debts[Balance])</f>
        <v>0</v>
      </c>
      <c r="D16" s="79" t="e">
        <f>SUMPRODUCT(Debts[Balance],Debts[Interest Rate])/SUM(Debts[Balance])</f>
        <v>#DIV/0!</v>
      </c>
      <c r="E16" s="78">
        <f>SUBTOTAL(109,Debts[Monthly Payment])</f>
        <v>0</v>
      </c>
      <c r="F16" s="79">
        <f>SUBTOTAL(109,Debts[% of Total])</f>
        <v>0</v>
      </c>
    </row>
    <row r="17" spans="2:6" ht="24" customHeight="1" x14ac:dyDescent="0.2"/>
    <row r="18" spans="2:6" s="58" customFormat="1" ht="19.5" x14ac:dyDescent="0.25">
      <c r="B18" s="64" t="s">
        <v>146</v>
      </c>
    </row>
    <row r="19" spans="2:6" s="58" customFormat="1" x14ac:dyDescent="0.2">
      <c r="B19" s="58" t="s">
        <v>167</v>
      </c>
    </row>
    <row r="20" spans="2:6" s="58" customFormat="1" x14ac:dyDescent="0.2">
      <c r="B20" s="58" t="s">
        <v>168</v>
      </c>
    </row>
    <row r="22" spans="2:6" x14ac:dyDescent="0.2">
      <c r="B22" s="69" t="s">
        <v>141</v>
      </c>
      <c r="C22" s="114" t="s">
        <v>140</v>
      </c>
    </row>
    <row r="23" spans="2:6" x14ac:dyDescent="0.2">
      <c r="B23" s="56" t="s">
        <v>145</v>
      </c>
      <c r="C23" s="111">
        <f>'PERSONAL BUDGET'!D109</f>
        <v>0</v>
      </c>
      <c r="E23" s="84"/>
    </row>
    <row r="24" spans="2:6" ht="24" customHeight="1" x14ac:dyDescent="0.2">
      <c r="F24" s="57" t="str">
        <f>IF(C28&gt;0, C28/SUM($C$8:$C$28), "")</f>
        <v/>
      </c>
    </row>
    <row r="25" spans="2:6" s="58" customFormat="1" ht="19.5" x14ac:dyDescent="0.25">
      <c r="B25" s="64" t="s">
        <v>144</v>
      </c>
    </row>
    <row r="26" spans="2:6" s="58" customFormat="1" x14ac:dyDescent="0.2">
      <c r="B26" s="58" t="s">
        <v>143</v>
      </c>
    </row>
    <row r="27" spans="2:6" s="58" customFormat="1" x14ac:dyDescent="0.2">
      <c r="B27" s="58" t="s">
        <v>142</v>
      </c>
    </row>
    <row r="29" spans="2:6" s="63" customFormat="1" x14ac:dyDescent="0.2">
      <c r="B29" s="68" t="s">
        <v>141</v>
      </c>
      <c r="C29" s="59" t="s">
        <v>140</v>
      </c>
      <c r="D29" s="67"/>
      <c r="E29" s="66"/>
      <c r="F29" s="67"/>
    </row>
    <row r="30" spans="2:6" s="63" customFormat="1" x14ac:dyDescent="0.2">
      <c r="B30" s="63" t="s">
        <v>139</v>
      </c>
      <c r="C30" s="84">
        <f>Debts[[#Totals],[Balance]]</f>
        <v>0</v>
      </c>
      <c r="D30" s="67"/>
      <c r="E30" s="66"/>
      <c r="F30" s="67"/>
    </row>
    <row r="31" spans="2:6" s="63" customFormat="1" x14ac:dyDescent="0.2">
      <c r="B31" s="63" t="s">
        <v>138</v>
      </c>
      <c r="C31" s="67" t="e">
        <f>Debts[[#Totals],[Interest Rate]]</f>
        <v>#DIV/0!</v>
      </c>
      <c r="D31" s="67"/>
      <c r="E31" s="66"/>
      <c r="F31" s="67"/>
    </row>
    <row r="32" spans="2:6" x14ac:dyDescent="0.2">
      <c r="B32" s="63" t="s">
        <v>137</v>
      </c>
      <c r="C32" s="66" t="e">
        <f>C30*C31/12</f>
        <v>#DIV/0!</v>
      </c>
      <c r="D32" s="67"/>
      <c r="E32" s="66"/>
      <c r="F32" s="67"/>
    </row>
    <row r="33" spans="2:3" x14ac:dyDescent="0.2">
      <c r="B33" s="63"/>
      <c r="C33" s="66"/>
    </row>
    <row r="34" spans="2:3" x14ac:dyDescent="0.2">
      <c r="B34" s="63" t="s">
        <v>136</v>
      </c>
      <c r="C34" s="66">
        <f>Debts[[#Totals],[Monthly Payment]]</f>
        <v>0</v>
      </c>
    </row>
    <row r="35" spans="2:3" x14ac:dyDescent="0.2">
      <c r="B35" s="63" t="s">
        <v>135</v>
      </c>
      <c r="C35" s="66">
        <f>Budget[Amount]</f>
        <v>0</v>
      </c>
    </row>
    <row r="36" spans="2:3" x14ac:dyDescent="0.2">
      <c r="B36" s="63"/>
      <c r="C36" s="66"/>
    </row>
    <row r="37" spans="2:3" ht="12.95" customHeight="1" x14ac:dyDescent="0.2">
      <c r="B37" s="63" t="s">
        <v>134</v>
      </c>
      <c r="C37" s="66">
        <f>C35-C34</f>
        <v>0</v>
      </c>
    </row>
    <row r="40" spans="2:3" ht="12.95" customHeight="1" x14ac:dyDescent="0.35">
      <c r="C40" s="65"/>
    </row>
    <row r="67" spans="2:6" s="58" customFormat="1" ht="19.5" x14ac:dyDescent="0.25">
      <c r="B67" s="64" t="s">
        <v>133</v>
      </c>
    </row>
    <row r="68" spans="2:6" s="58" customFormat="1" x14ac:dyDescent="0.2">
      <c r="B68" s="58" t="s">
        <v>161</v>
      </c>
    </row>
    <row r="69" spans="2:6" x14ac:dyDescent="0.2">
      <c r="C69" s="56"/>
      <c r="D69" s="56"/>
    </row>
    <row r="70" spans="2:6" x14ac:dyDescent="0.2">
      <c r="B70" s="63" t="s">
        <v>132</v>
      </c>
      <c r="C70" s="56"/>
      <c r="D70" s="56"/>
    </row>
    <row r="71" spans="2:6" ht="5.0999999999999996" customHeight="1" x14ac:dyDescent="0.2">
      <c r="C71" s="56"/>
      <c r="D71" s="56"/>
    </row>
    <row r="72" spans="2:6" x14ac:dyDescent="0.2">
      <c r="B72" s="61" t="s">
        <v>130</v>
      </c>
      <c r="C72" s="59" t="s">
        <v>129</v>
      </c>
      <c r="D72" s="60" t="s">
        <v>128</v>
      </c>
      <c r="E72" s="59" t="s">
        <v>127</v>
      </c>
      <c r="F72" s="59" t="s">
        <v>126</v>
      </c>
    </row>
    <row r="73" spans="2:6" x14ac:dyDescent="0.2">
      <c r="B73" s="61" t="str">
        <f>INDEX(Debts[[Creditor]:[Monthly Payment]], MATCH(MAX(Debts[Interest Rate]),Debts[Interest Rate], 0), 1)</f>
        <v>Paypal Credit Card</v>
      </c>
      <c r="C73" s="59">
        <f>INDEX(Debts[[Creditor]:[Monthly Payment]], MATCH(MAX(Debts[Interest Rate]),Debts[Interest Rate], 0), 2)</f>
        <v>0</v>
      </c>
      <c r="D73" s="60">
        <f>INDEX(Debts[[Creditor]:[Monthly Payment]], MATCH(MAX(Debts[Interest Rate]),Debts[Interest Rate], 0), 3)</f>
        <v>0</v>
      </c>
      <c r="E73" s="59">
        <f>INDEX(Debts[[Creditor]:[Monthly Payment]], MATCH(MAX(Debts[Interest Rate]),Debts[Interest Rate], 0), 4)</f>
        <v>0</v>
      </c>
      <c r="F73" s="59">
        <f>INDEX(Debts[[Creditor]:[Monthly Payment]], MATCH(MAX(Debts[Interest Rate]),Debts[Interest Rate], 0), 4) + $C$37</f>
        <v>0</v>
      </c>
    </row>
    <row r="74" spans="2:6" x14ac:dyDescent="0.2">
      <c r="B74" s="61"/>
      <c r="C74" s="59"/>
      <c r="D74" s="60"/>
      <c r="E74" s="59"/>
      <c r="F74" s="59"/>
    </row>
    <row r="75" spans="2:6" x14ac:dyDescent="0.2">
      <c r="B75" s="63" t="s">
        <v>131</v>
      </c>
      <c r="C75" s="62"/>
      <c r="D75" s="62"/>
      <c r="E75" s="59"/>
      <c r="F75" s="60"/>
    </row>
    <row r="76" spans="2:6" ht="5.0999999999999996" customHeight="1" x14ac:dyDescent="0.2">
      <c r="C76" s="62"/>
      <c r="D76" s="62"/>
      <c r="E76" s="59"/>
      <c r="F76" s="60"/>
    </row>
    <row r="77" spans="2:6" x14ac:dyDescent="0.2">
      <c r="B77" s="61" t="s">
        <v>130</v>
      </c>
      <c r="C77" s="59" t="s">
        <v>129</v>
      </c>
      <c r="D77" s="60" t="s">
        <v>128</v>
      </c>
      <c r="E77" s="59" t="s">
        <v>127</v>
      </c>
      <c r="F77" s="59" t="s">
        <v>126</v>
      </c>
    </row>
    <row r="78" spans="2:6" x14ac:dyDescent="0.2">
      <c r="B78" s="61" t="str">
        <f>INDEX(Debts[[Creditor]:[Monthly Payment]], MATCH(MIN(Debts[Balance]),Debts[Balance], 0), 1)</f>
        <v>Paypal Credit Card</v>
      </c>
      <c r="C78" s="59">
        <f>INDEX(Debts[[Creditor]:[Monthly Payment]], MATCH(MIN(Debts[Balance]),Debts[Balance], 0), 2)</f>
        <v>0</v>
      </c>
      <c r="D78" s="60">
        <f>INDEX(Debts[[Creditor]:[Monthly Payment]], MATCH(MIN(Debts[Balance]),Debts[Balance], 0), 3)</f>
        <v>0</v>
      </c>
      <c r="E78" s="59">
        <f>INDEX(Debts[[Creditor]:[Monthly Payment]], MATCH(MIN(Debts[Balance]),Debts[Balance], 0), 4)</f>
        <v>0</v>
      </c>
      <c r="F78" s="59">
        <f>INDEX(Debts[[Creditor]:[Monthly Payment]], MATCH(MIN(Debts[Balance]),Debts[Balance], 0), 4) + $C$37</f>
        <v>0</v>
      </c>
    </row>
    <row r="82" spans="2:3" x14ac:dyDescent="0.2">
      <c r="B82" s="63" t="s">
        <v>163</v>
      </c>
      <c r="C82" s="66"/>
    </row>
    <row r="83" spans="2:3" x14ac:dyDescent="0.2">
      <c r="B83" s="63"/>
      <c r="C83" s="66"/>
    </row>
    <row r="84" spans="2:3" x14ac:dyDescent="0.2">
      <c r="B84" s="63" t="s">
        <v>162</v>
      </c>
      <c r="C84" s="66"/>
    </row>
  </sheetData>
  <conditionalFormatting sqref="C37">
    <cfRule type="cellIs" dxfId="352" priority="1" operator="lessThan">
      <formula>0</formula>
    </cfRule>
  </conditionalFormatting>
  <pageMargins left="0.7" right="0.7" top="0.75" bottom="0.75" header="0.5" footer="0.5"/>
  <pageSetup orientation="landscape" horizontalDpi="4294967292" verticalDpi="4294967292"/>
  <drawing r:id="rId1"/>
  <tableParts count="5">
    <tablePart r:id="rId2"/>
    <tablePart r:id="rId3"/>
    <tablePart r:id="rId4"/>
    <tablePart r:id="rId5"/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63F6F-3D54-4B57-BD3C-75B56BF8B168}">
  <dimension ref="B1:Q84"/>
  <sheetViews>
    <sheetView showGridLines="0" workbookViewId="0">
      <selection activeCell="L22" sqref="L22"/>
    </sheetView>
  </sheetViews>
  <sheetFormatPr defaultColWidth="10.625" defaultRowHeight="12.75" x14ac:dyDescent="0.2"/>
  <cols>
    <col min="1" max="1" width="6" style="56" customWidth="1"/>
    <col min="2" max="2" width="34.125" style="56" customWidth="1"/>
    <col min="3" max="3" width="15.875" style="58" customWidth="1"/>
    <col min="4" max="4" width="16.125" style="57" customWidth="1"/>
    <col min="5" max="5" width="21.875" style="58" customWidth="1"/>
    <col min="6" max="6" width="16.625" style="57" customWidth="1"/>
    <col min="7" max="7" width="10.25" style="56" customWidth="1"/>
    <col min="8" max="16384" width="10.625" style="56"/>
  </cols>
  <sheetData>
    <row r="1" spans="2:17" s="58" customFormat="1" ht="36" x14ac:dyDescent="0.5">
      <c r="B1" s="73" t="s">
        <v>160</v>
      </c>
      <c r="F1" s="121" t="s">
        <v>95</v>
      </c>
      <c r="H1" s="72"/>
    </row>
    <row r="3" spans="2:17" s="58" customFormat="1" ht="19.5" x14ac:dyDescent="0.25">
      <c r="B3" s="64" t="s">
        <v>154</v>
      </c>
    </row>
    <row r="4" spans="2:17" s="58" customFormat="1" x14ac:dyDescent="0.2">
      <c r="B4" s="58" t="s">
        <v>153</v>
      </c>
    </row>
    <row r="5" spans="2:17" s="58" customFormat="1" x14ac:dyDescent="0.2">
      <c r="B5" s="58" t="s">
        <v>152</v>
      </c>
    </row>
    <row r="6" spans="2:17" x14ac:dyDescent="0.2">
      <c r="H6" s="83" t="s">
        <v>159</v>
      </c>
      <c r="I6" s="83"/>
      <c r="J6" s="83"/>
      <c r="K6" s="83"/>
      <c r="L6" s="83"/>
      <c r="M6" s="83"/>
      <c r="N6" s="83"/>
      <c r="O6" s="83"/>
      <c r="P6" s="83"/>
      <c r="Q6" s="83"/>
    </row>
    <row r="7" spans="2:17" ht="12.75" customHeight="1" x14ac:dyDescent="0.2">
      <c r="B7" s="63" t="s">
        <v>130</v>
      </c>
      <c r="C7" s="71" t="s">
        <v>129</v>
      </c>
      <c r="D7" s="70" t="s">
        <v>128</v>
      </c>
      <c r="E7" s="71" t="s">
        <v>127</v>
      </c>
      <c r="F7" s="70" t="s">
        <v>151</v>
      </c>
      <c r="H7" s="120" t="s">
        <v>171</v>
      </c>
      <c r="I7" s="119"/>
      <c r="J7" s="83"/>
      <c r="K7" s="83"/>
      <c r="L7" s="83"/>
      <c r="M7" s="83"/>
      <c r="N7" s="83"/>
      <c r="O7" s="83"/>
      <c r="P7" s="83"/>
      <c r="Q7" s="83"/>
    </row>
    <row r="8" spans="2:17" x14ac:dyDescent="0.2">
      <c r="B8" s="56" t="s">
        <v>164</v>
      </c>
      <c r="C8" s="58">
        <v>0</v>
      </c>
      <c r="D8" s="57">
        <v>0</v>
      </c>
      <c r="E8" s="58">
        <v>0</v>
      </c>
      <c r="F8" s="57" t="str">
        <f>IF(C8&gt;0, C8/SUM($C$8:$C$28), "")</f>
        <v/>
      </c>
      <c r="G8" s="115"/>
      <c r="H8" s="115"/>
    </row>
    <row r="9" spans="2:17" x14ac:dyDescent="0.2">
      <c r="B9" s="74" t="s">
        <v>165</v>
      </c>
      <c r="C9" s="75">
        <v>0</v>
      </c>
      <c r="D9" s="76">
        <v>0</v>
      </c>
      <c r="E9" s="75">
        <v>0</v>
      </c>
      <c r="F9" s="76" t="str">
        <f>IF(C9&gt;0, C9/SUM($C$8:$C$28), "")</f>
        <v/>
      </c>
      <c r="G9" s="115"/>
      <c r="H9" s="115"/>
    </row>
    <row r="10" spans="2:17" x14ac:dyDescent="0.2">
      <c r="B10" s="74" t="s">
        <v>166</v>
      </c>
      <c r="C10" s="75">
        <v>0</v>
      </c>
      <c r="D10" s="76">
        <v>0</v>
      </c>
      <c r="E10" s="75">
        <v>0</v>
      </c>
      <c r="F10" s="76" t="str">
        <f>IF(C10&gt;0, C10/SUM($C$8:$C$28), "")</f>
        <v/>
      </c>
      <c r="G10" s="115"/>
      <c r="H10" s="115"/>
    </row>
    <row r="11" spans="2:17" x14ac:dyDescent="0.2">
      <c r="B11" s="56" t="s">
        <v>150</v>
      </c>
      <c r="C11" s="58">
        <v>0</v>
      </c>
      <c r="D11" s="57">
        <v>0</v>
      </c>
      <c r="E11" s="58">
        <v>0</v>
      </c>
      <c r="F11" s="57" t="str">
        <f>IF(C11&gt;0, C11/SUM($C$8:$C$28), "")</f>
        <v/>
      </c>
      <c r="G11" s="115"/>
      <c r="H11" s="115"/>
    </row>
    <row r="12" spans="2:17" x14ac:dyDescent="0.2">
      <c r="B12" s="56" t="s">
        <v>150</v>
      </c>
      <c r="C12" s="58">
        <v>0</v>
      </c>
      <c r="D12" s="57">
        <v>0</v>
      </c>
      <c r="E12" s="58">
        <v>0</v>
      </c>
      <c r="F12" s="57" t="str">
        <f>IF(C12&gt;0, C12/SUM($C$8:$C$28), "")</f>
        <v/>
      </c>
      <c r="G12" s="115"/>
      <c r="H12" s="115"/>
    </row>
    <row r="13" spans="2:17" x14ac:dyDescent="0.2">
      <c r="B13" s="56" t="s">
        <v>149</v>
      </c>
      <c r="C13" s="58">
        <v>0</v>
      </c>
      <c r="D13" s="57">
        <v>0</v>
      </c>
      <c r="E13" s="58">
        <v>0</v>
      </c>
      <c r="F13" s="57" t="str">
        <f>IF(C13&gt;0, C13/SUM($C$8:$C$28), "")</f>
        <v/>
      </c>
      <c r="G13" s="115"/>
      <c r="H13" s="115"/>
    </row>
    <row r="14" spans="2:17" x14ac:dyDescent="0.2">
      <c r="B14" s="56" t="s">
        <v>148</v>
      </c>
      <c r="C14" s="58">
        <v>0</v>
      </c>
      <c r="D14" s="57">
        <v>0</v>
      </c>
      <c r="E14" s="58">
        <v>0</v>
      </c>
      <c r="F14" s="57" t="str">
        <f>IF(C14&gt;0, C14/SUM($C$8:$C$28), "")</f>
        <v/>
      </c>
      <c r="G14" s="115"/>
      <c r="H14" s="115"/>
    </row>
    <row r="15" spans="2:17" x14ac:dyDescent="0.2">
      <c r="B15" s="56" t="s">
        <v>147</v>
      </c>
      <c r="C15" s="58">
        <v>0</v>
      </c>
      <c r="D15" s="57">
        <v>0</v>
      </c>
      <c r="E15" s="58">
        <v>0</v>
      </c>
      <c r="F15" s="57" t="str">
        <f>IF(C15&gt;0, C15/SUM($C$8:$C$28), "")</f>
        <v/>
      </c>
      <c r="G15" s="115"/>
      <c r="H15" s="115"/>
    </row>
    <row r="16" spans="2:17" x14ac:dyDescent="0.2">
      <c r="B16" s="77" t="s">
        <v>55</v>
      </c>
      <c r="C16" s="78">
        <f>SUBTOTAL(109,Debts20[Balance])</f>
        <v>0</v>
      </c>
      <c r="D16" s="79" t="e">
        <f>SUMPRODUCT(Debts20[Balance],Debts20[Interest Rate])/SUM(Debts20[Balance])</f>
        <v>#DIV/0!</v>
      </c>
      <c r="E16" s="78">
        <f>SUBTOTAL(109,Debts20[Monthly Payment])</f>
        <v>0</v>
      </c>
      <c r="F16" s="79">
        <f>SUBTOTAL(109,Debts20[% of Total])</f>
        <v>0</v>
      </c>
    </row>
    <row r="17" spans="2:6" ht="24" customHeight="1" x14ac:dyDescent="0.2"/>
    <row r="18" spans="2:6" s="58" customFormat="1" ht="19.5" x14ac:dyDescent="0.25">
      <c r="B18" s="64" t="s">
        <v>146</v>
      </c>
    </row>
    <row r="19" spans="2:6" s="58" customFormat="1" x14ac:dyDescent="0.2">
      <c r="B19" s="66" t="s">
        <v>167</v>
      </c>
    </row>
    <row r="20" spans="2:6" s="58" customFormat="1" x14ac:dyDescent="0.2">
      <c r="B20" s="66" t="s">
        <v>168</v>
      </c>
    </row>
    <row r="22" spans="2:6" x14ac:dyDescent="0.2">
      <c r="B22" s="69" t="s">
        <v>141</v>
      </c>
      <c r="C22" s="114" t="s">
        <v>140</v>
      </c>
    </row>
    <row r="23" spans="2:6" x14ac:dyDescent="0.2">
      <c r="B23" s="56" t="s">
        <v>145</v>
      </c>
      <c r="C23" s="113">
        <f>'PERSONAL BUDGET'!E109</f>
        <v>0</v>
      </c>
      <c r="E23" s="84"/>
    </row>
    <row r="24" spans="2:6" ht="24" customHeight="1" x14ac:dyDescent="0.2">
      <c r="F24" s="57" t="str">
        <f>IF(C28&gt;0, C28/SUM($C$8:$C$28), "")</f>
        <v/>
      </c>
    </row>
    <row r="25" spans="2:6" s="58" customFormat="1" ht="19.5" x14ac:dyDescent="0.25">
      <c r="B25" s="64" t="s">
        <v>144</v>
      </c>
    </row>
    <row r="26" spans="2:6" s="58" customFormat="1" x14ac:dyDescent="0.2">
      <c r="B26" s="58" t="s">
        <v>143</v>
      </c>
    </row>
    <row r="27" spans="2:6" s="58" customFormat="1" x14ac:dyDescent="0.2">
      <c r="B27" s="58" t="s">
        <v>142</v>
      </c>
    </row>
    <row r="29" spans="2:6" s="63" customFormat="1" x14ac:dyDescent="0.2">
      <c r="B29" s="68" t="s">
        <v>141</v>
      </c>
      <c r="C29" s="59" t="s">
        <v>140</v>
      </c>
      <c r="D29" s="67"/>
      <c r="E29" s="66"/>
      <c r="F29" s="67"/>
    </row>
    <row r="30" spans="2:6" s="63" customFormat="1" x14ac:dyDescent="0.2">
      <c r="B30" s="63" t="s">
        <v>139</v>
      </c>
      <c r="C30" s="84">
        <f>Debts20[[#Totals],[Balance]]</f>
        <v>0</v>
      </c>
      <c r="D30" s="67"/>
      <c r="E30" s="66"/>
      <c r="F30" s="67"/>
    </row>
    <row r="31" spans="2:6" s="63" customFormat="1" x14ac:dyDescent="0.2">
      <c r="B31" s="63" t="s">
        <v>138</v>
      </c>
      <c r="C31" s="67" t="e">
        <f>Debts20[[#Totals],[Interest Rate]]</f>
        <v>#DIV/0!</v>
      </c>
      <c r="D31" s="67"/>
      <c r="E31" s="66"/>
      <c r="F31" s="67"/>
    </row>
    <row r="32" spans="2:6" x14ac:dyDescent="0.2">
      <c r="B32" s="63" t="s">
        <v>137</v>
      </c>
      <c r="C32" s="66" t="e">
        <f>C30*C31/12</f>
        <v>#DIV/0!</v>
      </c>
      <c r="D32" s="67"/>
      <c r="E32" s="66"/>
      <c r="F32" s="67"/>
    </row>
    <row r="33" spans="2:3" x14ac:dyDescent="0.2">
      <c r="B33" s="63"/>
      <c r="C33" s="66"/>
    </row>
    <row r="34" spans="2:3" x14ac:dyDescent="0.2">
      <c r="B34" s="63" t="s">
        <v>136</v>
      </c>
      <c r="C34" s="66">
        <f>Debts20[[#Totals],[Monthly Payment]]</f>
        <v>0</v>
      </c>
    </row>
    <row r="35" spans="2:3" x14ac:dyDescent="0.2">
      <c r="B35" s="63" t="s">
        <v>135</v>
      </c>
      <c r="C35" s="66">
        <f>Budget22[Amount]</f>
        <v>0</v>
      </c>
    </row>
    <row r="36" spans="2:3" x14ac:dyDescent="0.2">
      <c r="B36" s="63"/>
      <c r="C36" s="66"/>
    </row>
    <row r="37" spans="2:3" ht="12.95" customHeight="1" x14ac:dyDescent="0.2">
      <c r="B37" s="63" t="s">
        <v>134</v>
      </c>
      <c r="C37" s="66">
        <f>C35-C34</f>
        <v>0</v>
      </c>
    </row>
    <row r="40" spans="2:3" ht="12.95" customHeight="1" x14ac:dyDescent="0.35">
      <c r="C40" s="65"/>
    </row>
    <row r="67" spans="2:6" s="58" customFormat="1" ht="19.5" x14ac:dyDescent="0.25">
      <c r="B67" s="64" t="s">
        <v>133</v>
      </c>
    </row>
    <row r="68" spans="2:6" s="58" customFormat="1" x14ac:dyDescent="0.2">
      <c r="B68" s="58" t="s">
        <v>161</v>
      </c>
    </row>
    <row r="69" spans="2:6" x14ac:dyDescent="0.2">
      <c r="C69" s="56"/>
      <c r="D69" s="56"/>
    </row>
    <row r="70" spans="2:6" x14ac:dyDescent="0.2">
      <c r="B70" s="63" t="s">
        <v>132</v>
      </c>
      <c r="C70" s="56"/>
      <c r="D70" s="56"/>
    </row>
    <row r="71" spans="2:6" ht="5.0999999999999996" customHeight="1" x14ac:dyDescent="0.2">
      <c r="C71" s="56"/>
      <c r="D71" s="56"/>
    </row>
    <row r="72" spans="2:6" x14ac:dyDescent="0.2">
      <c r="B72" s="61" t="s">
        <v>130</v>
      </c>
      <c r="C72" s="59" t="s">
        <v>129</v>
      </c>
      <c r="D72" s="60" t="s">
        <v>128</v>
      </c>
      <c r="E72" s="59" t="s">
        <v>127</v>
      </c>
      <c r="F72" s="59" t="s">
        <v>126</v>
      </c>
    </row>
    <row r="73" spans="2:6" x14ac:dyDescent="0.2">
      <c r="B73" s="61" t="str">
        <f>INDEX(Debts20[[Creditor]:[Monthly Payment]], MATCH(MAX(Debts20[Interest Rate]),Debts20[Interest Rate], 0), 1)</f>
        <v>Paypal Credit Card</v>
      </c>
      <c r="C73" s="59">
        <f>INDEX(Debts20[[Creditor]:[Monthly Payment]], MATCH(MAX(Debts20[Interest Rate]),Debts20[Interest Rate], 0), 2)</f>
        <v>0</v>
      </c>
      <c r="D73" s="60">
        <f>INDEX(Debts20[[Creditor]:[Monthly Payment]], MATCH(MAX(Debts20[Interest Rate]),Debts20[Interest Rate], 0), 3)</f>
        <v>0</v>
      </c>
      <c r="E73" s="59">
        <f>INDEX(Debts20[[Creditor]:[Monthly Payment]], MATCH(MAX(Debts20[Interest Rate]),Debts20[Interest Rate], 0), 4)</f>
        <v>0</v>
      </c>
      <c r="F73" s="59">
        <f>INDEX(Debts20[[Creditor]:[Monthly Payment]], MATCH(MAX(Debts20[Interest Rate]),Debts20[Interest Rate], 0), 4) + $C$37</f>
        <v>0</v>
      </c>
    </row>
    <row r="74" spans="2:6" x14ac:dyDescent="0.2">
      <c r="B74" s="61"/>
      <c r="C74" s="59"/>
      <c r="D74" s="60"/>
      <c r="E74" s="59"/>
      <c r="F74" s="59"/>
    </row>
    <row r="75" spans="2:6" x14ac:dyDescent="0.2">
      <c r="B75" s="63" t="s">
        <v>131</v>
      </c>
      <c r="C75" s="62"/>
      <c r="D75" s="62"/>
      <c r="E75" s="59"/>
      <c r="F75" s="60"/>
    </row>
    <row r="76" spans="2:6" ht="5.0999999999999996" customHeight="1" x14ac:dyDescent="0.2">
      <c r="C76" s="62"/>
      <c r="D76" s="62"/>
      <c r="E76" s="59"/>
      <c r="F76" s="60"/>
    </row>
    <row r="77" spans="2:6" x14ac:dyDescent="0.2">
      <c r="B77" s="61" t="s">
        <v>130</v>
      </c>
      <c r="C77" s="59" t="s">
        <v>129</v>
      </c>
      <c r="D77" s="60" t="s">
        <v>128</v>
      </c>
      <c r="E77" s="59" t="s">
        <v>127</v>
      </c>
      <c r="F77" s="59" t="s">
        <v>126</v>
      </c>
    </row>
    <row r="78" spans="2:6" x14ac:dyDescent="0.2">
      <c r="B78" s="61" t="str">
        <f>INDEX(Debts20[[Creditor]:[Monthly Payment]], MATCH(MIN(Debts20[Balance]),Debts20[Balance], 0), 1)</f>
        <v>Paypal Credit Card</v>
      </c>
      <c r="C78" s="59">
        <f>INDEX(Debts20[[Creditor]:[Monthly Payment]], MATCH(MIN(Debts20[Balance]),Debts20[Balance], 0), 2)</f>
        <v>0</v>
      </c>
      <c r="D78" s="60">
        <f>INDEX(Debts20[[Creditor]:[Monthly Payment]], MATCH(MIN(Debts20[Balance]),Debts20[Balance], 0), 3)</f>
        <v>0</v>
      </c>
      <c r="E78" s="59">
        <f>INDEX(Debts20[[Creditor]:[Monthly Payment]], MATCH(MIN(Debts20[Balance]),Debts20[Balance], 0), 4)</f>
        <v>0</v>
      </c>
      <c r="F78" s="59">
        <f>INDEX(Debts20[[Creditor]:[Monthly Payment]], MATCH(MIN(Debts20[Balance]),Debts20[Balance], 0), 4) + $C$37</f>
        <v>0</v>
      </c>
    </row>
    <row r="82" spans="2:3" x14ac:dyDescent="0.2">
      <c r="B82" s="63" t="s">
        <v>163</v>
      </c>
      <c r="C82" s="66"/>
    </row>
    <row r="83" spans="2:3" x14ac:dyDescent="0.2">
      <c r="B83" s="63"/>
      <c r="C83" s="66"/>
    </row>
    <row r="84" spans="2:3" x14ac:dyDescent="0.2">
      <c r="B84" s="63" t="s">
        <v>162</v>
      </c>
      <c r="C84" s="66"/>
    </row>
  </sheetData>
  <conditionalFormatting sqref="C37">
    <cfRule type="cellIs" dxfId="350" priority="1" operator="lessThan">
      <formula>0</formula>
    </cfRule>
  </conditionalFormatting>
  <pageMargins left="0.7" right="0.7" top="0.75" bottom="0.75" header="0.5" footer="0.5"/>
  <pageSetup orientation="landscape" horizontalDpi="4294967292" verticalDpi="4294967292"/>
  <drawing r:id="rId1"/>
  <tableParts count="5">
    <tablePart r:id="rId2"/>
    <tablePart r:id="rId3"/>
    <tablePart r:id="rId4"/>
    <tablePart r:id="rId5"/>
    <tablePart r:id="rId6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11246-32DC-433F-8606-33527FAD87EB}">
  <dimension ref="B1:Q84"/>
  <sheetViews>
    <sheetView showGridLines="0" workbookViewId="0">
      <selection activeCell="F2" sqref="F2"/>
    </sheetView>
  </sheetViews>
  <sheetFormatPr defaultColWidth="10.625" defaultRowHeight="12.75" x14ac:dyDescent="0.2"/>
  <cols>
    <col min="1" max="1" width="6" style="56" customWidth="1"/>
    <col min="2" max="2" width="34.125" style="56" customWidth="1"/>
    <col min="3" max="3" width="15.875" style="58" customWidth="1"/>
    <col min="4" max="4" width="16.125" style="57" customWidth="1"/>
    <col min="5" max="5" width="21.875" style="58" customWidth="1"/>
    <col min="6" max="6" width="16.625" style="57" customWidth="1"/>
    <col min="7" max="7" width="10.25" style="56" customWidth="1"/>
    <col min="8" max="16384" width="10.625" style="56"/>
  </cols>
  <sheetData>
    <row r="1" spans="2:17" s="58" customFormat="1" ht="36" x14ac:dyDescent="0.5">
      <c r="B1" s="73" t="s">
        <v>160</v>
      </c>
      <c r="F1" s="121" t="s">
        <v>87</v>
      </c>
      <c r="H1" s="72"/>
    </row>
    <row r="3" spans="2:17" s="58" customFormat="1" ht="19.5" x14ac:dyDescent="0.25">
      <c r="B3" s="64" t="s">
        <v>154</v>
      </c>
    </row>
    <row r="4" spans="2:17" s="58" customFormat="1" x14ac:dyDescent="0.2">
      <c r="B4" s="58" t="s">
        <v>153</v>
      </c>
    </row>
    <row r="5" spans="2:17" s="58" customFormat="1" x14ac:dyDescent="0.2">
      <c r="B5" s="58" t="s">
        <v>152</v>
      </c>
    </row>
    <row r="6" spans="2:17" x14ac:dyDescent="0.2">
      <c r="H6" s="83" t="s">
        <v>159</v>
      </c>
      <c r="I6" s="83"/>
      <c r="J6" s="83"/>
      <c r="K6" s="83"/>
      <c r="L6" s="83"/>
      <c r="M6" s="83"/>
      <c r="N6" s="83"/>
      <c r="O6" s="83"/>
      <c r="P6" s="83"/>
      <c r="Q6" s="83"/>
    </row>
    <row r="7" spans="2:17" ht="12.75" customHeight="1" x14ac:dyDescent="0.2">
      <c r="B7" s="63" t="s">
        <v>130</v>
      </c>
      <c r="C7" s="71" t="s">
        <v>129</v>
      </c>
      <c r="D7" s="70" t="s">
        <v>128</v>
      </c>
      <c r="E7" s="71" t="s">
        <v>127</v>
      </c>
      <c r="F7" s="70" t="s">
        <v>151</v>
      </c>
      <c r="H7" s="120" t="s">
        <v>171</v>
      </c>
      <c r="I7" s="119"/>
      <c r="J7" s="83"/>
      <c r="K7" s="83"/>
      <c r="L7" s="83"/>
      <c r="M7" s="83"/>
      <c r="N7" s="83"/>
      <c r="O7" s="83"/>
      <c r="P7" s="83"/>
      <c r="Q7" s="83"/>
    </row>
    <row r="8" spans="2:17" x14ac:dyDescent="0.2">
      <c r="B8" s="56" t="s">
        <v>164</v>
      </c>
      <c r="C8" s="58">
        <v>0</v>
      </c>
      <c r="D8" s="57">
        <v>0</v>
      </c>
      <c r="E8" s="58">
        <v>0</v>
      </c>
      <c r="F8" s="57" t="str">
        <f>IF(C8&gt;0, C8/SUM($C$8:$C$28), "")</f>
        <v/>
      </c>
      <c r="G8" s="115"/>
      <c r="H8" s="115"/>
    </row>
    <row r="9" spans="2:17" x14ac:dyDescent="0.2">
      <c r="B9" s="74" t="s">
        <v>165</v>
      </c>
      <c r="C9" s="75">
        <v>0</v>
      </c>
      <c r="D9" s="76">
        <v>0</v>
      </c>
      <c r="E9" s="75">
        <v>0</v>
      </c>
      <c r="F9" s="76" t="str">
        <f>IF(C9&gt;0, C9/SUM($C$8:$C$28), "")</f>
        <v/>
      </c>
      <c r="G9" s="115"/>
      <c r="H9" s="115"/>
    </row>
    <row r="10" spans="2:17" x14ac:dyDescent="0.2">
      <c r="B10" s="74" t="s">
        <v>166</v>
      </c>
      <c r="C10" s="75">
        <v>0</v>
      </c>
      <c r="D10" s="76">
        <v>0</v>
      </c>
      <c r="E10" s="75">
        <v>0</v>
      </c>
      <c r="F10" s="76" t="str">
        <f>IF(C10&gt;0, C10/SUM($C$8:$C$28), "")</f>
        <v/>
      </c>
      <c r="G10" s="115"/>
      <c r="H10" s="115"/>
    </row>
    <row r="11" spans="2:17" x14ac:dyDescent="0.2">
      <c r="B11" s="56" t="s">
        <v>150</v>
      </c>
      <c r="C11" s="58">
        <v>0</v>
      </c>
      <c r="D11" s="57">
        <v>0</v>
      </c>
      <c r="E11" s="58">
        <v>0</v>
      </c>
      <c r="F11" s="57" t="str">
        <f>IF(C11&gt;0, C11/SUM($C$8:$C$28), "")</f>
        <v/>
      </c>
      <c r="G11" s="115"/>
      <c r="H11" s="115"/>
    </row>
    <row r="12" spans="2:17" x14ac:dyDescent="0.2">
      <c r="B12" s="56" t="s">
        <v>150</v>
      </c>
      <c r="C12" s="58">
        <v>0</v>
      </c>
      <c r="D12" s="57">
        <v>0</v>
      </c>
      <c r="E12" s="58">
        <v>0</v>
      </c>
      <c r="F12" s="57" t="str">
        <f>IF(C12&gt;0, C12/SUM($C$8:$C$28), "")</f>
        <v/>
      </c>
      <c r="G12" s="115"/>
      <c r="H12" s="115"/>
    </row>
    <row r="13" spans="2:17" x14ac:dyDescent="0.2">
      <c r="B13" s="56" t="s">
        <v>149</v>
      </c>
      <c r="C13" s="58">
        <v>0</v>
      </c>
      <c r="D13" s="57">
        <v>0</v>
      </c>
      <c r="E13" s="58">
        <v>0</v>
      </c>
      <c r="F13" s="57" t="str">
        <f>IF(C13&gt;0, C13/SUM($C$8:$C$28), "")</f>
        <v/>
      </c>
      <c r="G13" s="115"/>
      <c r="H13" s="115"/>
    </row>
    <row r="14" spans="2:17" x14ac:dyDescent="0.2">
      <c r="B14" s="56" t="s">
        <v>148</v>
      </c>
      <c r="C14" s="58">
        <v>0</v>
      </c>
      <c r="D14" s="57">
        <v>0</v>
      </c>
      <c r="E14" s="58">
        <v>0</v>
      </c>
      <c r="F14" s="57" t="str">
        <f>IF(C14&gt;0, C14/SUM($C$8:$C$28), "")</f>
        <v/>
      </c>
      <c r="G14" s="115"/>
      <c r="H14" s="115"/>
    </row>
    <row r="15" spans="2:17" x14ac:dyDescent="0.2">
      <c r="B15" s="56" t="s">
        <v>147</v>
      </c>
      <c r="C15" s="58">
        <v>0</v>
      </c>
      <c r="D15" s="57">
        <v>0</v>
      </c>
      <c r="E15" s="58">
        <v>0</v>
      </c>
      <c r="F15" s="57" t="str">
        <f>IF(C15&gt;0, C15/SUM($C$8:$C$28), "")</f>
        <v/>
      </c>
      <c r="G15" s="115"/>
      <c r="H15" s="115"/>
    </row>
    <row r="16" spans="2:17" x14ac:dyDescent="0.2">
      <c r="B16" s="77" t="s">
        <v>55</v>
      </c>
      <c r="C16" s="78">
        <f>SUBTOTAL(109,Debts2025[Balance])</f>
        <v>0</v>
      </c>
      <c r="D16" s="79" t="e">
        <f>SUMPRODUCT(Debts2025[Balance],Debts2025[Interest Rate])/SUM(Debts2025[Balance])</f>
        <v>#DIV/0!</v>
      </c>
      <c r="E16" s="78">
        <f>SUBTOTAL(109,Debts2025[Monthly Payment])</f>
        <v>0</v>
      </c>
      <c r="F16" s="79">
        <f>SUBTOTAL(109,Debts2025[% of Total])</f>
        <v>0</v>
      </c>
    </row>
    <row r="17" spans="2:6" ht="24" customHeight="1" x14ac:dyDescent="0.2"/>
    <row r="18" spans="2:6" s="58" customFormat="1" ht="19.5" x14ac:dyDescent="0.25">
      <c r="B18" s="64" t="s">
        <v>146</v>
      </c>
    </row>
    <row r="19" spans="2:6" s="58" customFormat="1" x14ac:dyDescent="0.2">
      <c r="B19" s="58" t="s">
        <v>167</v>
      </c>
    </row>
    <row r="20" spans="2:6" s="58" customFormat="1" x14ac:dyDescent="0.2">
      <c r="B20" s="58" t="s">
        <v>168</v>
      </c>
    </row>
    <row r="22" spans="2:6" x14ac:dyDescent="0.2">
      <c r="B22" s="69" t="s">
        <v>141</v>
      </c>
      <c r="C22" s="114" t="s">
        <v>140</v>
      </c>
    </row>
    <row r="23" spans="2:6" x14ac:dyDescent="0.2">
      <c r="B23" s="56" t="s">
        <v>145</v>
      </c>
      <c r="C23" s="113">
        <f>'PERSONAL BUDGET'!F109</f>
        <v>0</v>
      </c>
      <c r="E23" s="84"/>
    </row>
    <row r="24" spans="2:6" ht="24" customHeight="1" x14ac:dyDescent="0.2">
      <c r="F24" s="57" t="str">
        <f>IF(C28&gt;0, C28/SUM($C$8:$C$28), "")</f>
        <v/>
      </c>
    </row>
    <row r="25" spans="2:6" s="58" customFormat="1" ht="19.5" x14ac:dyDescent="0.25">
      <c r="B25" s="64" t="s">
        <v>144</v>
      </c>
    </row>
    <row r="26" spans="2:6" s="58" customFormat="1" x14ac:dyDescent="0.2">
      <c r="B26" s="58" t="s">
        <v>143</v>
      </c>
    </row>
    <row r="27" spans="2:6" s="58" customFormat="1" x14ac:dyDescent="0.2">
      <c r="B27" s="58" t="s">
        <v>142</v>
      </c>
    </row>
    <row r="29" spans="2:6" s="63" customFormat="1" x14ac:dyDescent="0.2">
      <c r="B29" s="68" t="s">
        <v>141</v>
      </c>
      <c r="C29" s="59" t="s">
        <v>140</v>
      </c>
      <c r="D29" s="67"/>
      <c r="E29" s="66"/>
      <c r="F29" s="67"/>
    </row>
    <row r="30" spans="2:6" s="63" customFormat="1" x14ac:dyDescent="0.2">
      <c r="B30" s="63" t="s">
        <v>139</v>
      </c>
      <c r="C30" s="84">
        <f>Debts2025[[#Totals],[Balance]]</f>
        <v>0</v>
      </c>
      <c r="D30" s="67"/>
      <c r="E30" s="66"/>
      <c r="F30" s="67"/>
    </row>
    <row r="31" spans="2:6" s="63" customFormat="1" x14ac:dyDescent="0.2">
      <c r="B31" s="63" t="s">
        <v>138</v>
      </c>
      <c r="C31" s="67" t="e">
        <f>Debts2025[[#Totals],[Interest Rate]]</f>
        <v>#DIV/0!</v>
      </c>
      <c r="D31" s="67"/>
      <c r="E31" s="66"/>
      <c r="F31" s="67"/>
    </row>
    <row r="32" spans="2:6" x14ac:dyDescent="0.2">
      <c r="B32" s="63" t="s">
        <v>137</v>
      </c>
      <c r="C32" s="66" t="e">
        <f>C30*C31/12</f>
        <v>#DIV/0!</v>
      </c>
      <c r="D32" s="67"/>
      <c r="E32" s="66"/>
      <c r="F32" s="67"/>
    </row>
    <row r="33" spans="2:3" x14ac:dyDescent="0.2">
      <c r="B33" s="63"/>
      <c r="C33" s="66"/>
    </row>
    <row r="34" spans="2:3" x14ac:dyDescent="0.2">
      <c r="B34" s="63" t="s">
        <v>136</v>
      </c>
      <c r="C34" s="66">
        <f>Debts2025[[#Totals],[Monthly Payment]]</f>
        <v>0</v>
      </c>
    </row>
    <row r="35" spans="2:3" x14ac:dyDescent="0.2">
      <c r="B35" s="63" t="s">
        <v>135</v>
      </c>
      <c r="C35" s="66">
        <f>Budget2227[Amount]</f>
        <v>0</v>
      </c>
    </row>
    <row r="36" spans="2:3" x14ac:dyDescent="0.2">
      <c r="B36" s="63"/>
      <c r="C36" s="66"/>
    </row>
    <row r="37" spans="2:3" ht="12.95" customHeight="1" x14ac:dyDescent="0.2">
      <c r="B37" s="63" t="s">
        <v>134</v>
      </c>
      <c r="C37" s="66">
        <f>C35-C34</f>
        <v>0</v>
      </c>
    </row>
    <row r="40" spans="2:3" ht="12.95" customHeight="1" x14ac:dyDescent="0.35">
      <c r="C40" s="65"/>
    </row>
    <row r="67" spans="2:6" s="58" customFormat="1" ht="19.5" x14ac:dyDescent="0.25">
      <c r="B67" s="64" t="s">
        <v>133</v>
      </c>
    </row>
    <row r="68" spans="2:6" s="58" customFormat="1" x14ac:dyDescent="0.2">
      <c r="B68" s="58" t="s">
        <v>161</v>
      </c>
    </row>
    <row r="69" spans="2:6" x14ac:dyDescent="0.2">
      <c r="C69" s="56"/>
      <c r="D69" s="56"/>
    </row>
    <row r="70" spans="2:6" x14ac:dyDescent="0.2">
      <c r="B70" s="63" t="s">
        <v>132</v>
      </c>
      <c r="C70" s="56"/>
      <c r="D70" s="56"/>
    </row>
    <row r="71" spans="2:6" ht="5.0999999999999996" customHeight="1" x14ac:dyDescent="0.2">
      <c r="C71" s="56"/>
      <c r="D71" s="56"/>
    </row>
    <row r="72" spans="2:6" x14ac:dyDescent="0.2">
      <c r="B72" s="61" t="s">
        <v>130</v>
      </c>
      <c r="C72" s="59" t="s">
        <v>129</v>
      </c>
      <c r="D72" s="60" t="s">
        <v>128</v>
      </c>
      <c r="E72" s="59" t="s">
        <v>127</v>
      </c>
      <c r="F72" s="59" t="s">
        <v>126</v>
      </c>
    </row>
    <row r="73" spans="2:6" x14ac:dyDescent="0.2">
      <c r="B73" s="61" t="str">
        <f>INDEX(Debts2025[[Creditor]:[Monthly Payment]], MATCH(MAX(Debts2025[Interest Rate]),Debts2025[Interest Rate], 0), 1)</f>
        <v>Paypal Credit Card</v>
      </c>
      <c r="C73" s="59">
        <f>INDEX(Debts2025[[Creditor]:[Monthly Payment]], MATCH(MAX(Debts2025[Interest Rate]),Debts2025[Interest Rate], 0), 2)</f>
        <v>0</v>
      </c>
      <c r="D73" s="60">
        <f>INDEX(Debts2025[[Creditor]:[Monthly Payment]], MATCH(MAX(Debts2025[Interest Rate]),Debts2025[Interest Rate], 0), 3)</f>
        <v>0</v>
      </c>
      <c r="E73" s="59">
        <f>INDEX(Debts2025[[Creditor]:[Monthly Payment]], MATCH(MAX(Debts2025[Interest Rate]),Debts2025[Interest Rate], 0), 4)</f>
        <v>0</v>
      </c>
      <c r="F73" s="59">
        <f>INDEX(Debts2025[[Creditor]:[Monthly Payment]], MATCH(MAX(Debts2025[Interest Rate]),Debts2025[Interest Rate], 0), 4) + $C$37</f>
        <v>0</v>
      </c>
    </row>
    <row r="74" spans="2:6" x14ac:dyDescent="0.2">
      <c r="B74" s="61"/>
      <c r="C74" s="59"/>
      <c r="D74" s="60"/>
      <c r="E74" s="59"/>
      <c r="F74" s="59"/>
    </row>
    <row r="75" spans="2:6" x14ac:dyDescent="0.2">
      <c r="B75" s="63" t="s">
        <v>131</v>
      </c>
      <c r="C75" s="62"/>
      <c r="D75" s="62"/>
      <c r="E75" s="59"/>
      <c r="F75" s="60"/>
    </row>
    <row r="76" spans="2:6" ht="5.0999999999999996" customHeight="1" x14ac:dyDescent="0.2">
      <c r="C76" s="62"/>
      <c r="D76" s="62"/>
      <c r="E76" s="59"/>
      <c r="F76" s="60"/>
    </row>
    <row r="77" spans="2:6" x14ac:dyDescent="0.2">
      <c r="B77" s="61" t="s">
        <v>130</v>
      </c>
      <c r="C77" s="59" t="s">
        <v>129</v>
      </c>
      <c r="D77" s="60" t="s">
        <v>128</v>
      </c>
      <c r="E77" s="59" t="s">
        <v>127</v>
      </c>
      <c r="F77" s="59" t="s">
        <v>126</v>
      </c>
    </row>
    <row r="78" spans="2:6" x14ac:dyDescent="0.2">
      <c r="B78" s="61" t="str">
        <f>INDEX(Debts2025[[Creditor]:[Monthly Payment]], MATCH(MIN(Debts2025[Balance]),Debts2025[Balance], 0), 1)</f>
        <v>Paypal Credit Card</v>
      </c>
      <c r="C78" s="59">
        <f>INDEX(Debts2025[[Creditor]:[Monthly Payment]], MATCH(MIN(Debts2025[Balance]),Debts2025[Balance], 0), 2)</f>
        <v>0</v>
      </c>
      <c r="D78" s="60">
        <f>INDEX(Debts2025[[Creditor]:[Monthly Payment]], MATCH(MIN(Debts2025[Balance]),Debts2025[Balance], 0), 3)</f>
        <v>0</v>
      </c>
      <c r="E78" s="59">
        <f>INDEX(Debts2025[[Creditor]:[Monthly Payment]], MATCH(MIN(Debts2025[Balance]),Debts2025[Balance], 0), 4)</f>
        <v>0</v>
      </c>
      <c r="F78" s="59">
        <f>INDEX(Debts2025[[Creditor]:[Monthly Payment]], MATCH(MIN(Debts2025[Balance]),Debts2025[Balance], 0), 4) + $C$37</f>
        <v>0</v>
      </c>
    </row>
    <row r="82" spans="2:3" x14ac:dyDescent="0.2">
      <c r="B82" s="63" t="s">
        <v>163</v>
      </c>
      <c r="C82" s="66"/>
    </row>
    <row r="83" spans="2:3" x14ac:dyDescent="0.2">
      <c r="B83" s="63"/>
      <c r="C83" s="66"/>
    </row>
    <row r="84" spans="2:3" x14ac:dyDescent="0.2">
      <c r="B84" s="63" t="s">
        <v>162</v>
      </c>
      <c r="C84" s="66"/>
    </row>
  </sheetData>
  <conditionalFormatting sqref="C37">
    <cfRule type="cellIs" dxfId="324" priority="1" operator="lessThan">
      <formula>0</formula>
    </cfRule>
  </conditionalFormatting>
  <pageMargins left="0.7" right="0.7" top="0.75" bottom="0.75" header="0.5" footer="0.5"/>
  <pageSetup orientation="landscape" horizontalDpi="4294967292" verticalDpi="4294967292"/>
  <drawing r:id="rId1"/>
  <tableParts count="5">
    <tablePart r:id="rId2"/>
    <tablePart r:id="rId3"/>
    <tablePart r:id="rId4"/>
    <tablePart r:id="rId5"/>
    <tablePart r:id="rId6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E3BB6-160D-4E3F-AB90-8A20966E8379}">
  <dimension ref="B1:Q84"/>
  <sheetViews>
    <sheetView showGridLines="0" workbookViewId="0">
      <selection activeCell="F1" sqref="F1"/>
    </sheetView>
  </sheetViews>
  <sheetFormatPr defaultColWidth="10.625" defaultRowHeight="12.75" x14ac:dyDescent="0.2"/>
  <cols>
    <col min="1" max="1" width="6" style="56" customWidth="1"/>
    <col min="2" max="2" width="34.125" style="56" customWidth="1"/>
    <col min="3" max="3" width="15.875" style="58" customWidth="1"/>
    <col min="4" max="4" width="16.125" style="57" customWidth="1"/>
    <col min="5" max="5" width="21.875" style="58" customWidth="1"/>
    <col min="6" max="6" width="16.625" style="57" customWidth="1"/>
    <col min="7" max="7" width="10.25" style="56" customWidth="1"/>
    <col min="8" max="16384" width="10.625" style="56"/>
  </cols>
  <sheetData>
    <row r="1" spans="2:17" s="58" customFormat="1" ht="36" x14ac:dyDescent="0.5">
      <c r="B1" s="73" t="s">
        <v>160</v>
      </c>
      <c r="F1" s="121" t="s">
        <v>88</v>
      </c>
      <c r="H1" s="72"/>
    </row>
    <row r="3" spans="2:17" s="58" customFormat="1" ht="19.5" x14ac:dyDescent="0.25">
      <c r="B3" s="64" t="s">
        <v>154</v>
      </c>
    </row>
    <row r="4" spans="2:17" s="58" customFormat="1" x14ac:dyDescent="0.2">
      <c r="B4" s="58" t="s">
        <v>153</v>
      </c>
    </row>
    <row r="5" spans="2:17" s="58" customFormat="1" x14ac:dyDescent="0.2">
      <c r="B5" s="58" t="s">
        <v>152</v>
      </c>
    </row>
    <row r="6" spans="2:17" x14ac:dyDescent="0.2">
      <c r="H6" s="83" t="s">
        <v>159</v>
      </c>
      <c r="I6" s="83"/>
      <c r="J6" s="83"/>
      <c r="K6" s="83"/>
      <c r="L6" s="83"/>
      <c r="M6" s="83"/>
      <c r="N6" s="83"/>
      <c r="O6" s="83"/>
      <c r="P6" s="83"/>
      <c r="Q6" s="83"/>
    </row>
    <row r="7" spans="2:17" ht="12.75" customHeight="1" x14ac:dyDescent="0.2">
      <c r="B7" s="63" t="s">
        <v>130</v>
      </c>
      <c r="C7" s="71" t="s">
        <v>129</v>
      </c>
      <c r="D7" s="70" t="s">
        <v>128</v>
      </c>
      <c r="E7" s="71" t="s">
        <v>127</v>
      </c>
      <c r="F7" s="70" t="s">
        <v>151</v>
      </c>
      <c r="H7" s="120" t="s">
        <v>171</v>
      </c>
      <c r="I7" s="119"/>
      <c r="J7" s="83"/>
      <c r="K7" s="83"/>
      <c r="L7" s="83"/>
      <c r="M7" s="83"/>
      <c r="N7" s="83"/>
      <c r="O7" s="83"/>
      <c r="P7" s="83"/>
      <c r="Q7" s="83"/>
    </row>
    <row r="8" spans="2:17" x14ac:dyDescent="0.2">
      <c r="B8" s="56" t="s">
        <v>164</v>
      </c>
      <c r="C8" s="58">
        <v>0</v>
      </c>
      <c r="D8" s="57">
        <v>0</v>
      </c>
      <c r="E8" s="58">
        <v>0</v>
      </c>
      <c r="F8" s="57" t="str">
        <f>IF(C8&gt;0, C8/SUM($C$8:$C$28), "")</f>
        <v/>
      </c>
      <c r="G8" s="115"/>
      <c r="H8" s="115"/>
    </row>
    <row r="9" spans="2:17" x14ac:dyDescent="0.2">
      <c r="B9" s="74" t="s">
        <v>165</v>
      </c>
      <c r="C9" s="75">
        <v>0</v>
      </c>
      <c r="D9" s="76">
        <v>0</v>
      </c>
      <c r="E9" s="75">
        <v>0</v>
      </c>
      <c r="F9" s="76" t="str">
        <f>IF(C9&gt;0, C9/SUM($C$8:$C$28), "")</f>
        <v/>
      </c>
      <c r="G9" s="115"/>
      <c r="H9" s="115"/>
    </row>
    <row r="10" spans="2:17" x14ac:dyDescent="0.2">
      <c r="B10" s="74" t="s">
        <v>166</v>
      </c>
      <c r="C10" s="75">
        <v>0</v>
      </c>
      <c r="D10" s="76">
        <v>0</v>
      </c>
      <c r="E10" s="75">
        <v>0</v>
      </c>
      <c r="F10" s="76" t="str">
        <f>IF(C10&gt;0, C10/SUM($C$8:$C$28), "")</f>
        <v/>
      </c>
      <c r="G10" s="115"/>
      <c r="H10" s="115"/>
    </row>
    <row r="11" spans="2:17" x14ac:dyDescent="0.2">
      <c r="B11" s="56" t="s">
        <v>150</v>
      </c>
      <c r="C11" s="58">
        <v>0</v>
      </c>
      <c r="D11" s="57">
        <v>0</v>
      </c>
      <c r="E11" s="58">
        <v>0</v>
      </c>
      <c r="F11" s="57" t="str">
        <f>IF(C11&gt;0, C11/SUM($C$8:$C$28), "")</f>
        <v/>
      </c>
      <c r="G11" s="115"/>
      <c r="H11" s="115"/>
    </row>
    <row r="12" spans="2:17" x14ac:dyDescent="0.2">
      <c r="B12" s="56" t="s">
        <v>150</v>
      </c>
      <c r="C12" s="58">
        <v>0</v>
      </c>
      <c r="D12" s="57">
        <v>0</v>
      </c>
      <c r="E12" s="58">
        <v>0</v>
      </c>
      <c r="F12" s="57" t="str">
        <f>IF(C12&gt;0, C12/SUM($C$8:$C$28), "")</f>
        <v/>
      </c>
      <c r="G12" s="115"/>
      <c r="H12" s="115"/>
    </row>
    <row r="13" spans="2:17" x14ac:dyDescent="0.2">
      <c r="B13" s="56" t="s">
        <v>149</v>
      </c>
      <c r="C13" s="58">
        <v>0</v>
      </c>
      <c r="D13" s="57">
        <v>0</v>
      </c>
      <c r="E13" s="58">
        <v>0</v>
      </c>
      <c r="F13" s="57" t="str">
        <f>IF(C13&gt;0, C13/SUM($C$8:$C$28), "")</f>
        <v/>
      </c>
      <c r="G13" s="115"/>
      <c r="H13" s="115"/>
    </row>
    <row r="14" spans="2:17" x14ac:dyDescent="0.2">
      <c r="B14" s="56" t="s">
        <v>148</v>
      </c>
      <c r="C14" s="58">
        <v>0</v>
      </c>
      <c r="D14" s="57">
        <v>0</v>
      </c>
      <c r="E14" s="58">
        <v>0</v>
      </c>
      <c r="F14" s="57" t="str">
        <f>IF(C14&gt;0, C14/SUM($C$8:$C$28), "")</f>
        <v/>
      </c>
      <c r="G14" s="115"/>
      <c r="H14" s="115"/>
    </row>
    <row r="15" spans="2:17" x14ac:dyDescent="0.2">
      <c r="B15" s="56" t="s">
        <v>147</v>
      </c>
      <c r="C15" s="58">
        <v>0</v>
      </c>
      <c r="D15" s="57">
        <v>0</v>
      </c>
      <c r="E15" s="58">
        <v>0</v>
      </c>
      <c r="F15" s="57" t="str">
        <f>IF(C15&gt;0, C15/SUM($C$8:$C$28), "")</f>
        <v/>
      </c>
      <c r="G15" s="115"/>
      <c r="H15" s="115"/>
    </row>
    <row r="16" spans="2:17" x14ac:dyDescent="0.2">
      <c r="B16" s="77" t="s">
        <v>55</v>
      </c>
      <c r="C16" s="78">
        <f>SUBTOTAL(109,Debts202530[Balance])</f>
        <v>0</v>
      </c>
      <c r="D16" s="79" t="e">
        <f>SUMPRODUCT(Debts202530[Balance],Debts202530[Interest Rate])/SUM(Debts202530[Balance])</f>
        <v>#DIV/0!</v>
      </c>
      <c r="E16" s="78">
        <f>SUBTOTAL(109,Debts202530[Monthly Payment])</f>
        <v>0</v>
      </c>
      <c r="F16" s="79">
        <f>SUBTOTAL(109,Debts202530[% of Total])</f>
        <v>0</v>
      </c>
    </row>
    <row r="17" spans="2:6" ht="24" customHeight="1" x14ac:dyDescent="0.2"/>
    <row r="18" spans="2:6" s="58" customFormat="1" ht="19.5" x14ac:dyDescent="0.25">
      <c r="B18" s="64" t="s">
        <v>146</v>
      </c>
    </row>
    <row r="19" spans="2:6" s="58" customFormat="1" x14ac:dyDescent="0.2">
      <c r="B19" s="58" t="s">
        <v>167</v>
      </c>
    </row>
    <row r="20" spans="2:6" s="58" customFormat="1" x14ac:dyDescent="0.2">
      <c r="B20" s="58" t="s">
        <v>168</v>
      </c>
    </row>
    <row r="22" spans="2:6" x14ac:dyDescent="0.2">
      <c r="B22" s="69" t="s">
        <v>141</v>
      </c>
      <c r="C22" s="114" t="s">
        <v>140</v>
      </c>
    </row>
    <row r="23" spans="2:6" x14ac:dyDescent="0.2">
      <c r="B23" s="56" t="s">
        <v>145</v>
      </c>
      <c r="C23" s="113">
        <f>'PERSONAL BUDGET'!G109</f>
        <v>0</v>
      </c>
      <c r="E23" s="84"/>
    </row>
    <row r="24" spans="2:6" ht="24" customHeight="1" x14ac:dyDescent="0.2">
      <c r="F24" s="57" t="str">
        <f>IF(C28&gt;0, C28/SUM($C$8:$C$28), "")</f>
        <v/>
      </c>
    </row>
    <row r="25" spans="2:6" s="58" customFormat="1" ht="19.5" x14ac:dyDescent="0.25">
      <c r="B25" s="64" t="s">
        <v>144</v>
      </c>
    </row>
    <row r="26" spans="2:6" s="58" customFormat="1" x14ac:dyDescent="0.2">
      <c r="B26" s="58" t="s">
        <v>143</v>
      </c>
    </row>
    <row r="27" spans="2:6" s="58" customFormat="1" x14ac:dyDescent="0.2">
      <c r="B27" s="58" t="s">
        <v>142</v>
      </c>
    </row>
    <row r="29" spans="2:6" s="63" customFormat="1" x14ac:dyDescent="0.2">
      <c r="B29" s="68" t="s">
        <v>141</v>
      </c>
      <c r="C29" s="59" t="s">
        <v>140</v>
      </c>
      <c r="D29" s="67"/>
      <c r="E29" s="66"/>
      <c r="F29" s="67"/>
    </row>
    <row r="30" spans="2:6" s="63" customFormat="1" x14ac:dyDescent="0.2">
      <c r="B30" s="63" t="s">
        <v>139</v>
      </c>
      <c r="C30" s="84">
        <f>Debts202530[[#Totals],[Balance]]</f>
        <v>0</v>
      </c>
      <c r="D30" s="67"/>
      <c r="E30" s="66"/>
      <c r="F30" s="67"/>
    </row>
    <row r="31" spans="2:6" s="63" customFormat="1" x14ac:dyDescent="0.2">
      <c r="B31" s="63" t="s">
        <v>138</v>
      </c>
      <c r="C31" s="67" t="e">
        <f>Debts202530[[#Totals],[Interest Rate]]</f>
        <v>#DIV/0!</v>
      </c>
      <c r="D31" s="67"/>
      <c r="E31" s="66"/>
      <c r="F31" s="67"/>
    </row>
    <row r="32" spans="2:6" x14ac:dyDescent="0.2">
      <c r="B32" s="63" t="s">
        <v>137</v>
      </c>
      <c r="C32" s="66" t="e">
        <f>C30*C31/12</f>
        <v>#DIV/0!</v>
      </c>
      <c r="D32" s="67"/>
      <c r="E32" s="66"/>
      <c r="F32" s="67"/>
    </row>
    <row r="33" spans="2:3" x14ac:dyDescent="0.2">
      <c r="B33" s="63"/>
      <c r="C33" s="66"/>
    </row>
    <row r="34" spans="2:3" x14ac:dyDescent="0.2">
      <c r="B34" s="63" t="s">
        <v>136</v>
      </c>
      <c r="C34" s="66">
        <f>Debts202530[[#Totals],[Monthly Payment]]</f>
        <v>0</v>
      </c>
    </row>
    <row r="35" spans="2:3" x14ac:dyDescent="0.2">
      <c r="B35" s="63" t="s">
        <v>135</v>
      </c>
      <c r="C35" s="66">
        <f>Budget222732[Amount]</f>
        <v>0</v>
      </c>
    </row>
    <row r="36" spans="2:3" x14ac:dyDescent="0.2">
      <c r="B36" s="63"/>
      <c r="C36" s="66"/>
    </row>
    <row r="37" spans="2:3" ht="12.95" customHeight="1" x14ac:dyDescent="0.2">
      <c r="B37" s="63" t="s">
        <v>134</v>
      </c>
      <c r="C37" s="66">
        <f>C35-C34</f>
        <v>0</v>
      </c>
    </row>
    <row r="40" spans="2:3" ht="12.95" customHeight="1" x14ac:dyDescent="0.35">
      <c r="C40" s="65"/>
    </row>
    <row r="67" spans="2:6" s="58" customFormat="1" ht="19.5" x14ac:dyDescent="0.25">
      <c r="B67" s="64" t="s">
        <v>133</v>
      </c>
    </row>
    <row r="68" spans="2:6" s="58" customFormat="1" x14ac:dyDescent="0.2">
      <c r="B68" s="58" t="s">
        <v>161</v>
      </c>
    </row>
    <row r="69" spans="2:6" x14ac:dyDescent="0.2">
      <c r="C69" s="56"/>
      <c r="D69" s="56"/>
    </row>
    <row r="70" spans="2:6" x14ac:dyDescent="0.2">
      <c r="B70" s="63" t="s">
        <v>132</v>
      </c>
      <c r="C70" s="56"/>
      <c r="D70" s="56"/>
    </row>
    <row r="71" spans="2:6" ht="5.0999999999999996" customHeight="1" x14ac:dyDescent="0.2">
      <c r="C71" s="56"/>
      <c r="D71" s="56"/>
    </row>
    <row r="72" spans="2:6" x14ac:dyDescent="0.2">
      <c r="B72" s="61" t="s">
        <v>130</v>
      </c>
      <c r="C72" s="59" t="s">
        <v>129</v>
      </c>
      <c r="D72" s="60" t="s">
        <v>128</v>
      </c>
      <c r="E72" s="59" t="s">
        <v>127</v>
      </c>
      <c r="F72" s="59" t="s">
        <v>126</v>
      </c>
    </row>
    <row r="73" spans="2:6" x14ac:dyDescent="0.2">
      <c r="B73" s="61" t="str">
        <f>INDEX(Debts202530[[Creditor]:[Monthly Payment]], MATCH(MAX(Debts202530[Interest Rate]),Debts202530[Interest Rate], 0), 1)</f>
        <v>Paypal Credit Card</v>
      </c>
      <c r="C73" s="59">
        <f>INDEX(Debts202530[[Creditor]:[Monthly Payment]], MATCH(MAX(Debts202530[Interest Rate]),Debts202530[Interest Rate], 0), 2)</f>
        <v>0</v>
      </c>
      <c r="D73" s="60">
        <f>INDEX(Debts202530[[Creditor]:[Monthly Payment]], MATCH(MAX(Debts202530[Interest Rate]),Debts202530[Interest Rate], 0), 3)</f>
        <v>0</v>
      </c>
      <c r="E73" s="59">
        <f>INDEX(Debts202530[[Creditor]:[Monthly Payment]], MATCH(MAX(Debts202530[Interest Rate]),Debts202530[Interest Rate], 0), 4)</f>
        <v>0</v>
      </c>
      <c r="F73" s="59">
        <f>INDEX(Debts202530[[Creditor]:[Monthly Payment]], MATCH(MAX(Debts202530[Interest Rate]),Debts202530[Interest Rate], 0), 4) + $C$37</f>
        <v>0</v>
      </c>
    </row>
    <row r="74" spans="2:6" x14ac:dyDescent="0.2">
      <c r="B74" s="61"/>
      <c r="C74" s="59"/>
      <c r="D74" s="60"/>
      <c r="E74" s="59"/>
      <c r="F74" s="59"/>
    </row>
    <row r="75" spans="2:6" x14ac:dyDescent="0.2">
      <c r="B75" s="63" t="s">
        <v>131</v>
      </c>
      <c r="C75" s="62"/>
      <c r="D75" s="62"/>
      <c r="E75" s="59"/>
      <c r="F75" s="60"/>
    </row>
    <row r="76" spans="2:6" ht="5.0999999999999996" customHeight="1" x14ac:dyDescent="0.2">
      <c r="C76" s="62"/>
      <c r="D76" s="62"/>
      <c r="E76" s="59"/>
      <c r="F76" s="60"/>
    </row>
    <row r="77" spans="2:6" x14ac:dyDescent="0.2">
      <c r="B77" s="61" t="s">
        <v>130</v>
      </c>
      <c r="C77" s="59" t="s">
        <v>129</v>
      </c>
      <c r="D77" s="60" t="s">
        <v>128</v>
      </c>
      <c r="E77" s="59" t="s">
        <v>127</v>
      </c>
      <c r="F77" s="59" t="s">
        <v>126</v>
      </c>
    </row>
    <row r="78" spans="2:6" x14ac:dyDescent="0.2">
      <c r="B78" s="61" t="str">
        <f>INDEX(Debts202530[[Creditor]:[Monthly Payment]], MATCH(MIN(Debts202530[Balance]),Debts202530[Balance], 0), 1)</f>
        <v>Paypal Credit Card</v>
      </c>
      <c r="C78" s="59">
        <f>INDEX(Debts202530[[Creditor]:[Monthly Payment]], MATCH(MIN(Debts202530[Balance]),Debts202530[Balance], 0), 2)</f>
        <v>0</v>
      </c>
      <c r="D78" s="60">
        <f>INDEX(Debts202530[[Creditor]:[Monthly Payment]], MATCH(MIN(Debts202530[Balance]),Debts202530[Balance], 0), 3)</f>
        <v>0</v>
      </c>
      <c r="E78" s="59">
        <f>INDEX(Debts202530[[Creditor]:[Monthly Payment]], MATCH(MIN(Debts202530[Balance]),Debts202530[Balance], 0), 4)</f>
        <v>0</v>
      </c>
      <c r="F78" s="59">
        <f>INDEX(Debts202530[[Creditor]:[Monthly Payment]], MATCH(MIN(Debts202530[Balance]),Debts202530[Balance], 0), 4) + $C$37</f>
        <v>0</v>
      </c>
    </row>
    <row r="82" spans="2:3" x14ac:dyDescent="0.2">
      <c r="B82" s="63" t="s">
        <v>163</v>
      </c>
      <c r="C82" s="66"/>
    </row>
    <row r="83" spans="2:3" x14ac:dyDescent="0.2">
      <c r="B83" s="63"/>
      <c r="C83" s="66"/>
    </row>
    <row r="84" spans="2:3" x14ac:dyDescent="0.2">
      <c r="B84" s="63" t="s">
        <v>162</v>
      </c>
      <c r="C84" s="66"/>
    </row>
  </sheetData>
  <conditionalFormatting sqref="C37">
    <cfRule type="cellIs" dxfId="299" priority="1" operator="lessThan">
      <formula>0</formula>
    </cfRule>
  </conditionalFormatting>
  <pageMargins left="0.7" right="0.7" top="0.75" bottom="0.75" header="0.5" footer="0.5"/>
  <pageSetup orientation="landscape" horizontalDpi="4294967292" verticalDpi="4294967292"/>
  <drawing r:id="rId1"/>
  <tableParts count="5">
    <tablePart r:id="rId2"/>
    <tablePart r:id="rId3"/>
    <tablePart r:id="rId4"/>
    <tablePart r:id="rId5"/>
    <tablePart r:id="rId6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A162C-DD6A-4BCB-B70E-6BA0AD0232B4}">
  <dimension ref="B1:Q84"/>
  <sheetViews>
    <sheetView showGridLines="0" workbookViewId="0">
      <selection activeCell="F1" sqref="F1"/>
    </sheetView>
  </sheetViews>
  <sheetFormatPr defaultColWidth="10.625" defaultRowHeight="12.75" x14ac:dyDescent="0.2"/>
  <cols>
    <col min="1" max="1" width="6" style="56" customWidth="1"/>
    <col min="2" max="2" width="34.125" style="56" customWidth="1"/>
    <col min="3" max="3" width="15.875" style="58" customWidth="1"/>
    <col min="4" max="4" width="16.125" style="57" customWidth="1"/>
    <col min="5" max="5" width="21.875" style="58" customWidth="1"/>
    <col min="6" max="6" width="16.625" style="57" customWidth="1"/>
    <col min="7" max="7" width="10.25" style="56" customWidth="1"/>
    <col min="8" max="16384" width="10.625" style="56"/>
  </cols>
  <sheetData>
    <row r="1" spans="2:17" s="58" customFormat="1" ht="36" x14ac:dyDescent="0.5">
      <c r="B1" s="73" t="s">
        <v>160</v>
      </c>
      <c r="F1" s="121" t="s">
        <v>89</v>
      </c>
      <c r="H1" s="72"/>
    </row>
    <row r="3" spans="2:17" s="58" customFormat="1" ht="19.5" x14ac:dyDescent="0.25">
      <c r="B3" s="64" t="s">
        <v>154</v>
      </c>
    </row>
    <row r="4" spans="2:17" s="58" customFormat="1" x14ac:dyDescent="0.2">
      <c r="B4" s="58" t="s">
        <v>153</v>
      </c>
    </row>
    <row r="5" spans="2:17" s="58" customFormat="1" x14ac:dyDescent="0.2">
      <c r="B5" s="58" t="s">
        <v>152</v>
      </c>
    </row>
    <row r="6" spans="2:17" x14ac:dyDescent="0.2">
      <c r="H6" s="83" t="s">
        <v>159</v>
      </c>
      <c r="I6" s="83"/>
      <c r="J6" s="83"/>
      <c r="K6" s="83"/>
      <c r="L6" s="83"/>
      <c r="M6" s="83"/>
      <c r="N6" s="83"/>
      <c r="O6" s="83"/>
      <c r="P6" s="83"/>
      <c r="Q6" s="83"/>
    </row>
    <row r="7" spans="2:17" ht="12.75" customHeight="1" x14ac:dyDescent="0.2">
      <c r="B7" s="63" t="s">
        <v>130</v>
      </c>
      <c r="C7" s="71" t="s">
        <v>129</v>
      </c>
      <c r="D7" s="70" t="s">
        <v>128</v>
      </c>
      <c r="E7" s="71" t="s">
        <v>127</v>
      </c>
      <c r="F7" s="70" t="s">
        <v>151</v>
      </c>
      <c r="H7" s="120" t="s">
        <v>171</v>
      </c>
      <c r="I7" s="119"/>
      <c r="J7" s="83"/>
      <c r="K7" s="83"/>
      <c r="L7" s="83"/>
      <c r="M7" s="83"/>
      <c r="N7" s="83"/>
      <c r="O7" s="83"/>
      <c r="P7" s="83"/>
      <c r="Q7" s="83"/>
    </row>
    <row r="8" spans="2:17" x14ac:dyDescent="0.2">
      <c r="B8" s="56" t="s">
        <v>164</v>
      </c>
      <c r="C8" s="58">
        <v>0</v>
      </c>
      <c r="D8" s="57">
        <v>0</v>
      </c>
      <c r="E8" s="58">
        <v>0</v>
      </c>
      <c r="F8" s="57" t="str">
        <f>IF(C8&gt;0, C8/SUM($C$8:$C$28), "")</f>
        <v/>
      </c>
      <c r="G8" s="115"/>
      <c r="H8" s="115"/>
    </row>
    <row r="9" spans="2:17" x14ac:dyDescent="0.2">
      <c r="B9" s="74" t="s">
        <v>165</v>
      </c>
      <c r="C9" s="75">
        <v>0</v>
      </c>
      <c r="D9" s="76">
        <v>0</v>
      </c>
      <c r="E9" s="75">
        <v>0</v>
      </c>
      <c r="F9" s="76" t="str">
        <f>IF(C9&gt;0, C9/SUM($C$8:$C$28), "")</f>
        <v/>
      </c>
      <c r="G9" s="115"/>
      <c r="H9" s="115"/>
    </row>
    <row r="10" spans="2:17" x14ac:dyDescent="0.2">
      <c r="B10" s="74" t="s">
        <v>166</v>
      </c>
      <c r="C10" s="75">
        <v>0</v>
      </c>
      <c r="D10" s="76">
        <v>0</v>
      </c>
      <c r="E10" s="75">
        <v>0</v>
      </c>
      <c r="F10" s="76" t="str">
        <f>IF(C10&gt;0, C10/SUM($C$8:$C$28), "")</f>
        <v/>
      </c>
      <c r="G10" s="115"/>
      <c r="H10" s="115"/>
    </row>
    <row r="11" spans="2:17" x14ac:dyDescent="0.2">
      <c r="B11" s="56" t="s">
        <v>150</v>
      </c>
      <c r="C11" s="58">
        <v>0</v>
      </c>
      <c r="D11" s="57">
        <v>0</v>
      </c>
      <c r="E11" s="58">
        <v>0</v>
      </c>
      <c r="F11" s="57" t="str">
        <f>IF(C11&gt;0, C11/SUM($C$8:$C$28), "")</f>
        <v/>
      </c>
      <c r="G11" s="115"/>
      <c r="H11" s="115"/>
    </row>
    <row r="12" spans="2:17" x14ac:dyDescent="0.2">
      <c r="B12" s="56" t="s">
        <v>150</v>
      </c>
      <c r="C12" s="58">
        <v>0</v>
      </c>
      <c r="D12" s="57">
        <v>0</v>
      </c>
      <c r="E12" s="58">
        <v>0</v>
      </c>
      <c r="F12" s="57" t="str">
        <f>IF(C12&gt;0, C12/SUM($C$8:$C$28), "")</f>
        <v/>
      </c>
      <c r="G12" s="115"/>
      <c r="H12" s="115"/>
    </row>
    <row r="13" spans="2:17" x14ac:dyDescent="0.2">
      <c r="B13" s="56" t="s">
        <v>149</v>
      </c>
      <c r="C13" s="58">
        <v>0</v>
      </c>
      <c r="D13" s="57">
        <v>0</v>
      </c>
      <c r="E13" s="58">
        <v>0</v>
      </c>
      <c r="F13" s="57" t="str">
        <f>IF(C13&gt;0, C13/SUM($C$8:$C$28), "")</f>
        <v/>
      </c>
      <c r="G13" s="115"/>
      <c r="H13" s="115"/>
    </row>
    <row r="14" spans="2:17" x14ac:dyDescent="0.2">
      <c r="B14" s="56" t="s">
        <v>148</v>
      </c>
      <c r="C14" s="58">
        <v>0</v>
      </c>
      <c r="D14" s="57">
        <v>0</v>
      </c>
      <c r="E14" s="58">
        <v>0</v>
      </c>
      <c r="F14" s="57" t="str">
        <f>IF(C14&gt;0, C14/SUM($C$8:$C$28), "")</f>
        <v/>
      </c>
      <c r="G14" s="115"/>
      <c r="H14" s="115"/>
    </row>
    <row r="15" spans="2:17" x14ac:dyDescent="0.2">
      <c r="B15" s="56" t="s">
        <v>147</v>
      </c>
      <c r="C15" s="58">
        <v>0</v>
      </c>
      <c r="D15" s="57">
        <v>0</v>
      </c>
      <c r="E15" s="58">
        <v>0</v>
      </c>
      <c r="F15" s="57" t="str">
        <f>IF(C15&gt;0, C15/SUM($C$8:$C$28), "")</f>
        <v/>
      </c>
      <c r="G15" s="115"/>
      <c r="H15" s="115"/>
    </row>
    <row r="16" spans="2:17" x14ac:dyDescent="0.2">
      <c r="B16" s="77" t="s">
        <v>55</v>
      </c>
      <c r="C16" s="78">
        <f>SUBTOTAL(109,Debts20253035[Balance])</f>
        <v>0</v>
      </c>
      <c r="D16" s="79" t="e">
        <f>SUMPRODUCT(Debts20253035[Balance],Debts20253035[Interest Rate])/SUM(Debts20253035[Balance])</f>
        <v>#DIV/0!</v>
      </c>
      <c r="E16" s="78">
        <f>SUBTOTAL(109,Debts20253035[Monthly Payment])</f>
        <v>0</v>
      </c>
      <c r="F16" s="79">
        <f>SUBTOTAL(109,Debts20253035[% of Total])</f>
        <v>0</v>
      </c>
    </row>
    <row r="17" spans="2:6" ht="24" customHeight="1" x14ac:dyDescent="0.2"/>
    <row r="18" spans="2:6" s="58" customFormat="1" ht="19.5" x14ac:dyDescent="0.25">
      <c r="B18" s="64" t="s">
        <v>146</v>
      </c>
    </row>
    <row r="19" spans="2:6" s="58" customFormat="1" x14ac:dyDescent="0.2">
      <c r="B19" s="66" t="s">
        <v>167</v>
      </c>
    </row>
    <row r="20" spans="2:6" s="58" customFormat="1" x14ac:dyDescent="0.2">
      <c r="B20" s="66" t="s">
        <v>173</v>
      </c>
    </row>
    <row r="22" spans="2:6" x14ac:dyDescent="0.2">
      <c r="B22" s="69" t="s">
        <v>141</v>
      </c>
      <c r="C22" s="114" t="s">
        <v>140</v>
      </c>
    </row>
    <row r="23" spans="2:6" x14ac:dyDescent="0.2">
      <c r="B23" s="56" t="s">
        <v>145</v>
      </c>
      <c r="C23" s="113">
        <f>'PERSONAL BUDGET'!H109</f>
        <v>0</v>
      </c>
      <c r="E23" s="84"/>
    </row>
    <row r="24" spans="2:6" ht="24" customHeight="1" x14ac:dyDescent="0.2">
      <c r="F24" s="57" t="str">
        <f>IF(C28&gt;0, C28/SUM($C$8:$C$28), "")</f>
        <v/>
      </c>
    </row>
    <row r="25" spans="2:6" s="58" customFormat="1" ht="19.5" x14ac:dyDescent="0.25">
      <c r="B25" s="64" t="s">
        <v>144</v>
      </c>
    </row>
    <row r="26" spans="2:6" s="58" customFormat="1" x14ac:dyDescent="0.2">
      <c r="B26" s="58" t="s">
        <v>143</v>
      </c>
    </row>
    <row r="27" spans="2:6" s="58" customFormat="1" x14ac:dyDescent="0.2">
      <c r="B27" s="58" t="s">
        <v>142</v>
      </c>
    </row>
    <row r="29" spans="2:6" s="63" customFormat="1" x14ac:dyDescent="0.2">
      <c r="B29" s="68" t="s">
        <v>141</v>
      </c>
      <c r="C29" s="59" t="s">
        <v>140</v>
      </c>
      <c r="D29" s="67"/>
      <c r="E29" s="66"/>
      <c r="F29" s="67"/>
    </row>
    <row r="30" spans="2:6" s="63" customFormat="1" x14ac:dyDescent="0.2">
      <c r="B30" s="63" t="s">
        <v>139</v>
      </c>
      <c r="C30" s="84">
        <f>Debts20253035[[#Totals],[Balance]]</f>
        <v>0</v>
      </c>
      <c r="D30" s="67"/>
      <c r="E30" s="66"/>
      <c r="F30" s="67"/>
    </row>
    <row r="31" spans="2:6" s="63" customFormat="1" x14ac:dyDescent="0.2">
      <c r="B31" s="63" t="s">
        <v>138</v>
      </c>
      <c r="C31" s="67" t="e">
        <f>Debts20253035[[#Totals],[Interest Rate]]</f>
        <v>#DIV/0!</v>
      </c>
      <c r="D31" s="67"/>
      <c r="E31" s="66"/>
      <c r="F31" s="67"/>
    </row>
    <row r="32" spans="2:6" x14ac:dyDescent="0.2">
      <c r="B32" s="63" t="s">
        <v>137</v>
      </c>
      <c r="C32" s="66" t="e">
        <f>C30*C31/12</f>
        <v>#DIV/0!</v>
      </c>
      <c r="D32" s="67"/>
      <c r="E32" s="66"/>
      <c r="F32" s="67"/>
    </row>
    <row r="33" spans="2:3" x14ac:dyDescent="0.2">
      <c r="B33" s="63"/>
      <c r="C33" s="66"/>
    </row>
    <row r="34" spans="2:3" x14ac:dyDescent="0.2">
      <c r="B34" s="63" t="s">
        <v>136</v>
      </c>
      <c r="C34" s="66">
        <f>Debts20253035[[#Totals],[Monthly Payment]]</f>
        <v>0</v>
      </c>
    </row>
    <row r="35" spans="2:3" x14ac:dyDescent="0.2">
      <c r="B35" s="63" t="s">
        <v>135</v>
      </c>
      <c r="C35" s="66">
        <f>Budget22273237[Amount]</f>
        <v>0</v>
      </c>
    </row>
    <row r="36" spans="2:3" x14ac:dyDescent="0.2">
      <c r="B36" s="63"/>
      <c r="C36" s="66"/>
    </row>
    <row r="37" spans="2:3" ht="12.95" customHeight="1" x14ac:dyDescent="0.2">
      <c r="B37" s="63" t="s">
        <v>134</v>
      </c>
      <c r="C37" s="66">
        <f>C35-C34</f>
        <v>0</v>
      </c>
    </row>
    <row r="40" spans="2:3" ht="12.95" customHeight="1" x14ac:dyDescent="0.35">
      <c r="C40" s="65"/>
    </row>
    <row r="67" spans="2:6" s="58" customFormat="1" ht="19.5" x14ac:dyDescent="0.25">
      <c r="B67" s="64" t="s">
        <v>133</v>
      </c>
    </row>
    <row r="68" spans="2:6" s="58" customFormat="1" x14ac:dyDescent="0.2">
      <c r="B68" s="58" t="s">
        <v>161</v>
      </c>
    </row>
    <row r="69" spans="2:6" x14ac:dyDescent="0.2">
      <c r="C69" s="56"/>
      <c r="D69" s="56"/>
    </row>
    <row r="70" spans="2:6" x14ac:dyDescent="0.2">
      <c r="B70" s="63" t="s">
        <v>132</v>
      </c>
      <c r="C70" s="56"/>
      <c r="D70" s="56"/>
    </row>
    <row r="71" spans="2:6" ht="5.0999999999999996" customHeight="1" x14ac:dyDescent="0.2">
      <c r="C71" s="56"/>
      <c r="D71" s="56"/>
    </row>
    <row r="72" spans="2:6" x14ac:dyDescent="0.2">
      <c r="B72" s="61" t="s">
        <v>130</v>
      </c>
      <c r="C72" s="59" t="s">
        <v>129</v>
      </c>
      <c r="D72" s="60" t="s">
        <v>128</v>
      </c>
      <c r="E72" s="59" t="s">
        <v>127</v>
      </c>
      <c r="F72" s="59" t="s">
        <v>126</v>
      </c>
    </row>
    <row r="73" spans="2:6" x14ac:dyDescent="0.2">
      <c r="B73" s="61" t="str">
        <f>INDEX(Debts20253035[[Creditor]:[Monthly Payment]], MATCH(MAX(Debts20253035[Interest Rate]),Debts20253035[Interest Rate], 0), 1)</f>
        <v>Paypal Credit Card</v>
      </c>
      <c r="C73" s="59">
        <f>INDEX(Debts20253035[[Creditor]:[Monthly Payment]], MATCH(MAX(Debts20253035[Interest Rate]),Debts20253035[Interest Rate], 0), 2)</f>
        <v>0</v>
      </c>
      <c r="D73" s="60">
        <f>INDEX(Debts20253035[[Creditor]:[Monthly Payment]], MATCH(MAX(Debts20253035[Interest Rate]),Debts20253035[Interest Rate], 0), 3)</f>
        <v>0</v>
      </c>
      <c r="E73" s="59">
        <f>INDEX(Debts20253035[[Creditor]:[Monthly Payment]], MATCH(MAX(Debts20253035[Interest Rate]),Debts20253035[Interest Rate], 0), 4)</f>
        <v>0</v>
      </c>
      <c r="F73" s="59">
        <f>INDEX(Debts20253035[[Creditor]:[Monthly Payment]], MATCH(MAX(Debts20253035[Interest Rate]),Debts20253035[Interest Rate], 0), 4) + $C$37</f>
        <v>0</v>
      </c>
    </row>
    <row r="74" spans="2:6" x14ac:dyDescent="0.2">
      <c r="B74" s="61"/>
      <c r="C74" s="59"/>
      <c r="D74" s="60"/>
      <c r="E74" s="59"/>
      <c r="F74" s="59"/>
    </row>
    <row r="75" spans="2:6" x14ac:dyDescent="0.2">
      <c r="B75" s="63" t="s">
        <v>131</v>
      </c>
      <c r="C75" s="62"/>
      <c r="D75" s="62"/>
      <c r="E75" s="59"/>
      <c r="F75" s="60"/>
    </row>
    <row r="76" spans="2:6" ht="5.0999999999999996" customHeight="1" x14ac:dyDescent="0.2">
      <c r="C76" s="62"/>
      <c r="D76" s="62"/>
      <c r="E76" s="59"/>
      <c r="F76" s="60"/>
    </row>
    <row r="77" spans="2:6" x14ac:dyDescent="0.2">
      <c r="B77" s="61" t="s">
        <v>130</v>
      </c>
      <c r="C77" s="59" t="s">
        <v>129</v>
      </c>
      <c r="D77" s="60" t="s">
        <v>128</v>
      </c>
      <c r="E77" s="59" t="s">
        <v>127</v>
      </c>
      <c r="F77" s="59" t="s">
        <v>126</v>
      </c>
    </row>
    <row r="78" spans="2:6" x14ac:dyDescent="0.2">
      <c r="B78" s="61" t="str">
        <f>INDEX(Debts20253035[[Creditor]:[Monthly Payment]], MATCH(MIN(Debts20253035[Balance]),Debts20253035[Balance], 0), 1)</f>
        <v>Paypal Credit Card</v>
      </c>
      <c r="C78" s="59">
        <f>INDEX(Debts20253035[[Creditor]:[Monthly Payment]], MATCH(MIN(Debts20253035[Balance]),Debts20253035[Balance], 0), 2)</f>
        <v>0</v>
      </c>
      <c r="D78" s="60">
        <f>INDEX(Debts20253035[[Creditor]:[Monthly Payment]], MATCH(MIN(Debts20253035[Balance]),Debts20253035[Balance], 0), 3)</f>
        <v>0</v>
      </c>
      <c r="E78" s="59">
        <f>INDEX(Debts20253035[[Creditor]:[Monthly Payment]], MATCH(MIN(Debts20253035[Balance]),Debts20253035[Balance], 0), 4)</f>
        <v>0</v>
      </c>
      <c r="F78" s="59">
        <f>INDEX(Debts20253035[[Creditor]:[Monthly Payment]], MATCH(MIN(Debts20253035[Balance]),Debts20253035[Balance], 0), 4) + $C$37</f>
        <v>0</v>
      </c>
    </row>
    <row r="82" spans="2:3" x14ac:dyDescent="0.2">
      <c r="B82" s="63" t="s">
        <v>163</v>
      </c>
      <c r="C82" s="66"/>
    </row>
    <row r="83" spans="2:3" x14ac:dyDescent="0.2">
      <c r="B83" s="63"/>
      <c r="C83" s="66"/>
    </row>
    <row r="84" spans="2:3" x14ac:dyDescent="0.2">
      <c r="B84" s="63" t="s">
        <v>162</v>
      </c>
      <c r="C84" s="66"/>
    </row>
  </sheetData>
  <conditionalFormatting sqref="C37">
    <cfRule type="cellIs" dxfId="274" priority="1" operator="lessThan">
      <formula>0</formula>
    </cfRule>
  </conditionalFormatting>
  <pageMargins left="0.7" right="0.7" top="0.75" bottom="0.75" header="0.5" footer="0.5"/>
  <pageSetup orientation="landscape" horizontalDpi="4294967292" verticalDpi="4294967292"/>
  <drawing r:id="rId1"/>
  <tableParts count="5">
    <tablePart r:id="rId2"/>
    <tablePart r:id="rId3"/>
    <tablePart r:id="rId4"/>
    <tablePart r:id="rId5"/>
    <tablePart r:id="rId6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07B49-A935-4121-983A-89295D0B46B8}">
  <dimension ref="B1:Q84"/>
  <sheetViews>
    <sheetView showGridLines="0" workbookViewId="0">
      <selection activeCell="F1" sqref="F1"/>
    </sheetView>
  </sheetViews>
  <sheetFormatPr defaultColWidth="10.625" defaultRowHeight="12.75" x14ac:dyDescent="0.2"/>
  <cols>
    <col min="1" max="1" width="6" style="56" customWidth="1"/>
    <col min="2" max="2" width="34.125" style="56" customWidth="1"/>
    <col min="3" max="3" width="15.875" style="58" customWidth="1"/>
    <col min="4" max="4" width="16.125" style="57" customWidth="1"/>
    <col min="5" max="5" width="21.875" style="58" customWidth="1"/>
    <col min="6" max="6" width="16.625" style="57" customWidth="1"/>
    <col min="7" max="7" width="10.25" style="56" customWidth="1"/>
    <col min="8" max="16384" width="10.625" style="56"/>
  </cols>
  <sheetData>
    <row r="1" spans="2:17" s="58" customFormat="1" ht="36" x14ac:dyDescent="0.5">
      <c r="B1" s="73" t="s">
        <v>160</v>
      </c>
      <c r="F1" s="121" t="s">
        <v>90</v>
      </c>
      <c r="H1" s="72"/>
    </row>
    <row r="3" spans="2:17" s="58" customFormat="1" ht="19.5" x14ac:dyDescent="0.25">
      <c r="B3" s="64" t="s">
        <v>154</v>
      </c>
    </row>
    <row r="4" spans="2:17" s="58" customFormat="1" x14ac:dyDescent="0.2">
      <c r="B4" s="58" t="s">
        <v>153</v>
      </c>
    </row>
    <row r="5" spans="2:17" s="58" customFormat="1" x14ac:dyDescent="0.2">
      <c r="B5" s="58" t="s">
        <v>152</v>
      </c>
    </row>
    <row r="6" spans="2:17" x14ac:dyDescent="0.2">
      <c r="H6" s="83" t="s">
        <v>159</v>
      </c>
      <c r="I6" s="83"/>
      <c r="J6" s="83"/>
      <c r="K6" s="83"/>
      <c r="L6" s="83"/>
      <c r="M6" s="83"/>
      <c r="N6" s="83"/>
      <c r="O6" s="83"/>
      <c r="P6" s="83"/>
      <c r="Q6" s="83"/>
    </row>
    <row r="7" spans="2:17" ht="12.75" customHeight="1" x14ac:dyDescent="0.2">
      <c r="B7" s="63" t="s">
        <v>130</v>
      </c>
      <c r="C7" s="71" t="s">
        <v>129</v>
      </c>
      <c r="D7" s="70" t="s">
        <v>128</v>
      </c>
      <c r="E7" s="71" t="s">
        <v>127</v>
      </c>
      <c r="F7" s="70" t="s">
        <v>151</v>
      </c>
      <c r="H7" s="120" t="s">
        <v>171</v>
      </c>
      <c r="I7" s="119"/>
      <c r="J7" s="83"/>
      <c r="K7" s="83"/>
      <c r="L7" s="83"/>
      <c r="M7" s="83"/>
      <c r="N7" s="83"/>
      <c r="O7" s="83"/>
      <c r="P7" s="83"/>
      <c r="Q7" s="83"/>
    </row>
    <row r="8" spans="2:17" x14ac:dyDescent="0.2">
      <c r="B8" s="56" t="s">
        <v>164</v>
      </c>
      <c r="C8" s="58">
        <v>0</v>
      </c>
      <c r="D8" s="57">
        <v>0</v>
      </c>
      <c r="E8" s="58">
        <v>0</v>
      </c>
      <c r="F8" s="57" t="str">
        <f>IF(C8&gt;0, C8/SUM($C$8:$C$28), "")</f>
        <v/>
      </c>
      <c r="G8" s="115"/>
      <c r="H8" s="115"/>
    </row>
    <row r="9" spans="2:17" x14ac:dyDescent="0.2">
      <c r="B9" s="74" t="s">
        <v>165</v>
      </c>
      <c r="C9" s="75">
        <v>0</v>
      </c>
      <c r="D9" s="76">
        <v>0</v>
      </c>
      <c r="E9" s="75">
        <v>0</v>
      </c>
      <c r="F9" s="76" t="str">
        <f>IF(C9&gt;0, C9/SUM($C$8:$C$28), "")</f>
        <v/>
      </c>
      <c r="G9" s="115"/>
      <c r="H9" s="115"/>
    </row>
    <row r="10" spans="2:17" x14ac:dyDescent="0.2">
      <c r="B10" s="74" t="s">
        <v>166</v>
      </c>
      <c r="C10" s="75">
        <v>0</v>
      </c>
      <c r="D10" s="76">
        <v>0</v>
      </c>
      <c r="E10" s="75">
        <v>0</v>
      </c>
      <c r="F10" s="76" t="str">
        <f>IF(C10&gt;0, C10/SUM($C$8:$C$28), "")</f>
        <v/>
      </c>
      <c r="G10" s="115"/>
      <c r="H10" s="115"/>
    </row>
    <row r="11" spans="2:17" x14ac:dyDescent="0.2">
      <c r="B11" s="56" t="s">
        <v>150</v>
      </c>
      <c r="C11" s="58">
        <v>0</v>
      </c>
      <c r="D11" s="57">
        <v>0</v>
      </c>
      <c r="E11" s="58">
        <v>0</v>
      </c>
      <c r="F11" s="57" t="str">
        <f>IF(C11&gt;0, C11/SUM($C$8:$C$28), "")</f>
        <v/>
      </c>
      <c r="G11" s="115"/>
      <c r="H11" s="115"/>
    </row>
    <row r="12" spans="2:17" x14ac:dyDescent="0.2">
      <c r="B12" s="56" t="s">
        <v>150</v>
      </c>
      <c r="C12" s="58">
        <v>0</v>
      </c>
      <c r="D12" s="57">
        <v>0</v>
      </c>
      <c r="E12" s="58">
        <v>0</v>
      </c>
      <c r="F12" s="57" t="str">
        <f>IF(C12&gt;0, C12/SUM($C$8:$C$28), "")</f>
        <v/>
      </c>
      <c r="G12" s="115"/>
      <c r="H12" s="115"/>
    </row>
    <row r="13" spans="2:17" x14ac:dyDescent="0.2">
      <c r="B13" s="56" t="s">
        <v>149</v>
      </c>
      <c r="C13" s="58">
        <v>0</v>
      </c>
      <c r="D13" s="57">
        <v>0</v>
      </c>
      <c r="E13" s="58">
        <v>0</v>
      </c>
      <c r="F13" s="57" t="str">
        <f>IF(C13&gt;0, C13/SUM($C$8:$C$28), "")</f>
        <v/>
      </c>
      <c r="G13" s="115"/>
      <c r="H13" s="115"/>
    </row>
    <row r="14" spans="2:17" x14ac:dyDescent="0.2">
      <c r="B14" s="56" t="s">
        <v>148</v>
      </c>
      <c r="C14" s="58">
        <v>0</v>
      </c>
      <c r="D14" s="57">
        <v>0</v>
      </c>
      <c r="E14" s="58">
        <v>0</v>
      </c>
      <c r="F14" s="57" t="str">
        <f>IF(C14&gt;0, C14/SUM($C$8:$C$28), "")</f>
        <v/>
      </c>
      <c r="G14" s="115"/>
      <c r="H14" s="115"/>
    </row>
    <row r="15" spans="2:17" x14ac:dyDescent="0.2">
      <c r="B15" s="56" t="s">
        <v>147</v>
      </c>
      <c r="C15" s="58">
        <v>0</v>
      </c>
      <c r="D15" s="57">
        <v>0</v>
      </c>
      <c r="E15" s="58">
        <v>0</v>
      </c>
      <c r="F15" s="57" t="str">
        <f>IF(C15&gt;0, C15/SUM($C$8:$C$28), "")</f>
        <v/>
      </c>
      <c r="G15" s="115"/>
      <c r="H15" s="115"/>
    </row>
    <row r="16" spans="2:17" x14ac:dyDescent="0.2">
      <c r="B16" s="77" t="s">
        <v>55</v>
      </c>
      <c r="C16" s="78">
        <f>SUBTOTAL(109,Debts2025303540[Balance])</f>
        <v>0</v>
      </c>
      <c r="D16" s="79" t="s">
        <v>174</v>
      </c>
      <c r="E16" s="78">
        <f>SUBTOTAL(109,Debts2025303540[Monthly Payment])</f>
        <v>0</v>
      </c>
      <c r="F16" s="79">
        <f>SUBTOTAL(109,Debts2025303540[% of Total])</f>
        <v>0</v>
      </c>
    </row>
    <row r="17" spans="2:6" ht="24" customHeight="1" x14ac:dyDescent="0.2"/>
    <row r="18" spans="2:6" s="58" customFormat="1" ht="19.5" x14ac:dyDescent="0.25">
      <c r="B18" s="64" t="s">
        <v>146</v>
      </c>
    </row>
    <row r="19" spans="2:6" s="58" customFormat="1" x14ac:dyDescent="0.2">
      <c r="B19" s="58" t="s">
        <v>167</v>
      </c>
    </row>
    <row r="20" spans="2:6" s="58" customFormat="1" x14ac:dyDescent="0.2">
      <c r="B20" s="58" t="s">
        <v>168</v>
      </c>
    </row>
    <row r="22" spans="2:6" x14ac:dyDescent="0.2">
      <c r="B22" s="69" t="s">
        <v>141</v>
      </c>
      <c r="C22" s="114" t="s">
        <v>140</v>
      </c>
    </row>
    <row r="23" spans="2:6" x14ac:dyDescent="0.2">
      <c r="B23" s="56" t="s">
        <v>145</v>
      </c>
      <c r="C23" s="113">
        <f>'PERSONAL BUDGET'!I109</f>
        <v>0</v>
      </c>
      <c r="E23" s="84"/>
    </row>
    <row r="24" spans="2:6" ht="24" customHeight="1" x14ac:dyDescent="0.2">
      <c r="F24" s="57" t="str">
        <f>IF(C28&gt;0, C28/SUM($C$8:$C$28), "")</f>
        <v/>
      </c>
    </row>
    <row r="25" spans="2:6" s="58" customFormat="1" ht="19.5" x14ac:dyDescent="0.25">
      <c r="B25" s="64" t="s">
        <v>144</v>
      </c>
    </row>
    <row r="26" spans="2:6" s="58" customFormat="1" x14ac:dyDescent="0.2">
      <c r="B26" s="58" t="s">
        <v>143</v>
      </c>
    </row>
    <row r="27" spans="2:6" s="58" customFormat="1" x14ac:dyDescent="0.2">
      <c r="B27" s="58" t="s">
        <v>142</v>
      </c>
    </row>
    <row r="29" spans="2:6" s="63" customFormat="1" x14ac:dyDescent="0.2">
      <c r="B29" s="68" t="s">
        <v>141</v>
      </c>
      <c r="C29" s="59" t="s">
        <v>140</v>
      </c>
      <c r="D29" s="67"/>
      <c r="E29" s="66"/>
      <c r="F29" s="67"/>
    </row>
    <row r="30" spans="2:6" s="63" customFormat="1" x14ac:dyDescent="0.2">
      <c r="B30" s="63" t="s">
        <v>139</v>
      </c>
      <c r="C30" s="84">
        <f>Debts2025303540[[#Totals],[Balance]]</f>
        <v>0</v>
      </c>
      <c r="D30" s="67"/>
      <c r="E30" s="66"/>
      <c r="F30" s="67"/>
    </row>
    <row r="31" spans="2:6" s="63" customFormat="1" x14ac:dyDescent="0.2">
      <c r="B31" s="63" t="s">
        <v>138</v>
      </c>
      <c r="C31" s="67" t="str">
        <f>Debts2025303540[[#Totals],[Interest Rate]]</f>
        <v>0.00%</v>
      </c>
      <c r="D31" s="67"/>
      <c r="E31" s="66"/>
      <c r="F31" s="67"/>
    </row>
    <row r="32" spans="2:6" x14ac:dyDescent="0.2">
      <c r="B32" s="63" t="s">
        <v>137</v>
      </c>
      <c r="C32" s="66">
        <f>C30*C31/12</f>
        <v>0</v>
      </c>
      <c r="D32" s="67"/>
      <c r="E32" s="66"/>
      <c r="F32" s="67"/>
    </row>
    <row r="33" spans="2:3" x14ac:dyDescent="0.2">
      <c r="B33" s="63"/>
      <c r="C33" s="66"/>
    </row>
    <row r="34" spans="2:3" x14ac:dyDescent="0.2">
      <c r="B34" s="63" t="s">
        <v>136</v>
      </c>
      <c r="C34" s="66">
        <f>Debts2025303540[[#Totals],[Monthly Payment]]</f>
        <v>0</v>
      </c>
    </row>
    <row r="35" spans="2:3" x14ac:dyDescent="0.2">
      <c r="B35" s="63" t="s">
        <v>135</v>
      </c>
      <c r="C35" s="66">
        <f>Budget2227323742[Amount]</f>
        <v>0</v>
      </c>
    </row>
    <row r="36" spans="2:3" x14ac:dyDescent="0.2">
      <c r="B36" s="63"/>
      <c r="C36" s="66"/>
    </row>
    <row r="37" spans="2:3" ht="12.95" customHeight="1" x14ac:dyDescent="0.2">
      <c r="B37" s="63" t="s">
        <v>134</v>
      </c>
      <c r="C37" s="66">
        <f>C35-C34</f>
        <v>0</v>
      </c>
    </row>
    <row r="40" spans="2:3" ht="12.95" customHeight="1" x14ac:dyDescent="0.35">
      <c r="C40" s="65"/>
    </row>
    <row r="67" spans="2:6" s="58" customFormat="1" ht="19.5" x14ac:dyDescent="0.25">
      <c r="B67" s="64" t="s">
        <v>133</v>
      </c>
    </row>
    <row r="68" spans="2:6" s="58" customFormat="1" x14ac:dyDescent="0.2">
      <c r="B68" s="58" t="s">
        <v>161</v>
      </c>
    </row>
    <row r="69" spans="2:6" x14ac:dyDescent="0.2">
      <c r="C69" s="56"/>
      <c r="D69" s="56"/>
    </row>
    <row r="70" spans="2:6" x14ac:dyDescent="0.2">
      <c r="B70" s="63" t="s">
        <v>132</v>
      </c>
      <c r="C70" s="56"/>
      <c r="D70" s="56"/>
    </row>
    <row r="71" spans="2:6" ht="5.0999999999999996" customHeight="1" x14ac:dyDescent="0.2">
      <c r="C71" s="56"/>
      <c r="D71" s="56"/>
    </row>
    <row r="72" spans="2:6" x14ac:dyDescent="0.2">
      <c r="B72" s="61" t="s">
        <v>130</v>
      </c>
      <c r="C72" s="59" t="s">
        <v>129</v>
      </c>
      <c r="D72" s="60" t="s">
        <v>128</v>
      </c>
      <c r="E72" s="59" t="s">
        <v>127</v>
      </c>
      <c r="F72" s="59" t="s">
        <v>126</v>
      </c>
    </row>
    <row r="73" spans="2:6" x14ac:dyDescent="0.2">
      <c r="B73" s="61" t="str">
        <f>INDEX(Debts2025303540[[Creditor]:[Monthly Payment]], MATCH(MAX(Debts2025303540[Interest Rate]),Debts2025303540[Interest Rate], 0), 1)</f>
        <v>Paypal Credit Card</v>
      </c>
      <c r="C73" s="59">
        <f>INDEX(Debts2025303540[[Creditor]:[Monthly Payment]], MATCH(MAX(Debts2025303540[Interest Rate]),Debts2025303540[Interest Rate], 0), 2)</f>
        <v>0</v>
      </c>
      <c r="D73" s="60">
        <f>INDEX(Debts2025303540[[Creditor]:[Monthly Payment]], MATCH(MAX(Debts2025303540[Interest Rate]),Debts2025303540[Interest Rate], 0), 3)</f>
        <v>0</v>
      </c>
      <c r="E73" s="59">
        <f>INDEX(Debts2025303540[[Creditor]:[Monthly Payment]], MATCH(MAX(Debts2025303540[Interest Rate]),Debts2025303540[Interest Rate], 0), 4)</f>
        <v>0</v>
      </c>
      <c r="F73" s="59">
        <f>INDEX(Debts2025303540[[Creditor]:[Monthly Payment]], MATCH(MAX(Debts2025303540[Interest Rate]),Debts2025303540[Interest Rate], 0), 4) + $C$37</f>
        <v>0</v>
      </c>
    </row>
    <row r="74" spans="2:6" x14ac:dyDescent="0.2">
      <c r="B74" s="61"/>
      <c r="C74" s="59"/>
      <c r="D74" s="60"/>
      <c r="E74" s="59"/>
      <c r="F74" s="59"/>
    </row>
    <row r="75" spans="2:6" x14ac:dyDescent="0.2">
      <c r="B75" s="63" t="s">
        <v>131</v>
      </c>
      <c r="C75" s="62"/>
      <c r="D75" s="62"/>
      <c r="E75" s="59"/>
      <c r="F75" s="60"/>
    </row>
    <row r="76" spans="2:6" ht="5.0999999999999996" customHeight="1" x14ac:dyDescent="0.2">
      <c r="C76" s="62"/>
      <c r="D76" s="62"/>
      <c r="E76" s="59"/>
      <c r="F76" s="60"/>
    </row>
    <row r="77" spans="2:6" x14ac:dyDescent="0.2">
      <c r="B77" s="61" t="s">
        <v>130</v>
      </c>
      <c r="C77" s="59" t="s">
        <v>129</v>
      </c>
      <c r="D77" s="60" t="s">
        <v>128</v>
      </c>
      <c r="E77" s="59" t="s">
        <v>127</v>
      </c>
      <c r="F77" s="59" t="s">
        <v>126</v>
      </c>
    </row>
    <row r="78" spans="2:6" x14ac:dyDescent="0.2">
      <c r="B78" s="61" t="str">
        <f>INDEX(Debts2025303540[[Creditor]:[Monthly Payment]], MATCH(MIN(Debts2025303540[Balance]),Debts2025303540[Balance], 0), 1)</f>
        <v>Paypal Credit Card</v>
      </c>
      <c r="C78" s="59">
        <f>INDEX(Debts2025303540[[Creditor]:[Monthly Payment]], MATCH(MIN(Debts2025303540[Balance]),Debts2025303540[Balance], 0), 2)</f>
        <v>0</v>
      </c>
      <c r="D78" s="60">
        <f>INDEX(Debts2025303540[[Creditor]:[Monthly Payment]], MATCH(MIN(Debts2025303540[Balance]),Debts2025303540[Balance], 0), 3)</f>
        <v>0</v>
      </c>
      <c r="E78" s="59">
        <f>INDEX(Debts2025303540[[Creditor]:[Monthly Payment]], MATCH(MIN(Debts2025303540[Balance]),Debts2025303540[Balance], 0), 4)</f>
        <v>0</v>
      </c>
      <c r="F78" s="59">
        <f>INDEX(Debts2025303540[[Creditor]:[Monthly Payment]], MATCH(MIN(Debts2025303540[Balance]),Debts2025303540[Balance], 0), 4) + $C$37</f>
        <v>0</v>
      </c>
    </row>
    <row r="82" spans="2:3" x14ac:dyDescent="0.2">
      <c r="B82" s="63" t="s">
        <v>163</v>
      </c>
      <c r="C82" s="66"/>
    </row>
    <row r="83" spans="2:3" x14ac:dyDescent="0.2">
      <c r="B83" s="63"/>
      <c r="C83" s="66"/>
    </row>
    <row r="84" spans="2:3" x14ac:dyDescent="0.2">
      <c r="B84" s="63" t="s">
        <v>162</v>
      </c>
      <c r="C84" s="66"/>
    </row>
  </sheetData>
  <conditionalFormatting sqref="C37">
    <cfRule type="cellIs" dxfId="249" priority="1" operator="lessThan">
      <formula>0</formula>
    </cfRule>
  </conditionalFormatting>
  <pageMargins left="0.7" right="0.7" top="0.75" bottom="0.75" header="0.5" footer="0.5"/>
  <pageSetup orientation="landscape" horizontalDpi="4294967292" verticalDpi="4294967292"/>
  <drawing r:id="rId1"/>
  <tableParts count="5">
    <tablePart r:id="rId2"/>
    <tablePart r:id="rId3"/>
    <tablePart r:id="rId4"/>
    <tablePart r:id="rId5"/>
    <tablePart r:id="rId6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9B69E-883C-40D0-918F-2C68870B6EC1}">
  <dimension ref="B1:Q84"/>
  <sheetViews>
    <sheetView showGridLines="0" workbookViewId="0">
      <selection activeCell="F1" sqref="F1"/>
    </sheetView>
  </sheetViews>
  <sheetFormatPr defaultColWidth="10.625" defaultRowHeight="12.75" x14ac:dyDescent="0.2"/>
  <cols>
    <col min="1" max="1" width="6" style="56" customWidth="1"/>
    <col min="2" max="2" width="34.125" style="56" customWidth="1"/>
    <col min="3" max="3" width="15.875" style="58" customWidth="1"/>
    <col min="4" max="4" width="16.125" style="57" customWidth="1"/>
    <col min="5" max="5" width="21.875" style="58" customWidth="1"/>
    <col min="6" max="6" width="16.625" style="57" customWidth="1"/>
    <col min="7" max="7" width="10.25" style="56" customWidth="1"/>
    <col min="8" max="16384" width="10.625" style="56"/>
  </cols>
  <sheetData>
    <row r="1" spans="2:17" s="58" customFormat="1" ht="36" x14ac:dyDescent="0.5">
      <c r="B1" s="73" t="s">
        <v>160</v>
      </c>
      <c r="F1" s="121" t="s">
        <v>91</v>
      </c>
      <c r="H1" s="72"/>
    </row>
    <row r="3" spans="2:17" s="58" customFormat="1" ht="19.5" x14ac:dyDescent="0.25">
      <c r="B3" s="64" t="s">
        <v>154</v>
      </c>
    </row>
    <row r="4" spans="2:17" s="58" customFormat="1" x14ac:dyDescent="0.2">
      <c r="B4" s="58" t="s">
        <v>153</v>
      </c>
    </row>
    <row r="5" spans="2:17" s="58" customFormat="1" x14ac:dyDescent="0.2">
      <c r="B5" s="58" t="s">
        <v>152</v>
      </c>
    </row>
    <row r="6" spans="2:17" x14ac:dyDescent="0.2">
      <c r="H6" s="83" t="s">
        <v>159</v>
      </c>
      <c r="I6" s="83"/>
      <c r="J6" s="83"/>
      <c r="K6" s="83"/>
      <c r="L6" s="83"/>
      <c r="M6" s="83"/>
      <c r="N6" s="83"/>
      <c r="O6" s="83"/>
      <c r="P6" s="83"/>
      <c r="Q6" s="83"/>
    </row>
    <row r="7" spans="2:17" ht="12.75" customHeight="1" x14ac:dyDescent="0.2">
      <c r="B7" s="63" t="s">
        <v>130</v>
      </c>
      <c r="C7" s="71" t="s">
        <v>129</v>
      </c>
      <c r="D7" s="70" t="s">
        <v>128</v>
      </c>
      <c r="E7" s="71" t="s">
        <v>127</v>
      </c>
      <c r="F7" s="70" t="s">
        <v>151</v>
      </c>
      <c r="H7" s="120" t="s">
        <v>171</v>
      </c>
      <c r="I7" s="119"/>
      <c r="J7" s="83"/>
      <c r="K7" s="83"/>
      <c r="L7" s="83"/>
      <c r="M7" s="83"/>
      <c r="N7" s="83"/>
      <c r="O7" s="83"/>
      <c r="P7" s="83"/>
      <c r="Q7" s="83"/>
    </row>
    <row r="8" spans="2:17" x14ac:dyDescent="0.2">
      <c r="B8" s="56" t="s">
        <v>164</v>
      </c>
      <c r="C8" s="58">
        <v>0</v>
      </c>
      <c r="D8" s="57">
        <v>0</v>
      </c>
      <c r="E8" s="58">
        <v>0</v>
      </c>
      <c r="F8" s="57" t="str">
        <f>IF(C8&gt;0, C8/SUM($C$8:$C$28), "")</f>
        <v/>
      </c>
      <c r="G8" s="115"/>
      <c r="H8" s="115"/>
    </row>
    <row r="9" spans="2:17" x14ac:dyDescent="0.2">
      <c r="B9" s="74" t="s">
        <v>165</v>
      </c>
      <c r="C9" s="75">
        <v>0</v>
      </c>
      <c r="D9" s="76">
        <v>0</v>
      </c>
      <c r="E9" s="75">
        <v>0</v>
      </c>
      <c r="F9" s="76" t="str">
        <f>IF(C9&gt;0, C9/SUM($C$8:$C$28), "")</f>
        <v/>
      </c>
      <c r="G9" s="115"/>
      <c r="H9" s="115"/>
    </row>
    <row r="10" spans="2:17" x14ac:dyDescent="0.2">
      <c r="B10" s="74" t="s">
        <v>166</v>
      </c>
      <c r="C10" s="75">
        <v>0</v>
      </c>
      <c r="D10" s="76">
        <v>0</v>
      </c>
      <c r="E10" s="75">
        <v>0</v>
      </c>
      <c r="F10" s="76" t="str">
        <f>IF(C10&gt;0, C10/SUM($C$8:$C$28), "")</f>
        <v/>
      </c>
      <c r="G10" s="115"/>
      <c r="H10" s="115"/>
    </row>
    <row r="11" spans="2:17" x14ac:dyDescent="0.2">
      <c r="B11" s="56" t="s">
        <v>150</v>
      </c>
      <c r="C11" s="58">
        <v>0</v>
      </c>
      <c r="D11" s="57">
        <v>0</v>
      </c>
      <c r="E11" s="58">
        <v>0</v>
      </c>
      <c r="F11" s="57" t="str">
        <f>IF(C11&gt;0, C11/SUM($C$8:$C$28), "")</f>
        <v/>
      </c>
      <c r="G11" s="115"/>
      <c r="H11" s="115"/>
    </row>
    <row r="12" spans="2:17" x14ac:dyDescent="0.2">
      <c r="B12" s="56" t="s">
        <v>150</v>
      </c>
      <c r="C12" s="58">
        <v>0</v>
      </c>
      <c r="D12" s="57">
        <v>0</v>
      </c>
      <c r="E12" s="58">
        <v>0</v>
      </c>
      <c r="F12" s="57" t="str">
        <f>IF(C12&gt;0, C12/SUM($C$8:$C$28), "")</f>
        <v/>
      </c>
      <c r="G12" s="115"/>
      <c r="H12" s="115"/>
    </row>
    <row r="13" spans="2:17" x14ac:dyDescent="0.2">
      <c r="B13" s="56" t="s">
        <v>149</v>
      </c>
      <c r="C13" s="58">
        <v>0</v>
      </c>
      <c r="D13" s="57">
        <v>0</v>
      </c>
      <c r="E13" s="58">
        <v>0</v>
      </c>
      <c r="F13" s="57" t="str">
        <f>IF(C13&gt;0, C13/SUM($C$8:$C$28), "")</f>
        <v/>
      </c>
      <c r="G13" s="115"/>
      <c r="H13" s="115"/>
    </row>
    <row r="14" spans="2:17" x14ac:dyDescent="0.2">
      <c r="B14" s="56" t="s">
        <v>148</v>
      </c>
      <c r="C14" s="58">
        <v>0</v>
      </c>
      <c r="D14" s="57">
        <v>0</v>
      </c>
      <c r="E14" s="58">
        <v>0</v>
      </c>
      <c r="F14" s="57" t="str">
        <f>IF(C14&gt;0, C14/SUM($C$8:$C$28), "")</f>
        <v/>
      </c>
      <c r="G14" s="115"/>
      <c r="H14" s="115"/>
    </row>
    <row r="15" spans="2:17" x14ac:dyDescent="0.2">
      <c r="B15" s="56" t="s">
        <v>147</v>
      </c>
      <c r="C15" s="58">
        <v>0</v>
      </c>
      <c r="D15" s="57">
        <v>0</v>
      </c>
      <c r="E15" s="58">
        <v>0</v>
      </c>
      <c r="F15" s="57" t="str">
        <f>IF(C15&gt;0, C15/SUM($C$8:$C$28), "")</f>
        <v/>
      </c>
      <c r="G15" s="115"/>
      <c r="H15" s="115"/>
    </row>
    <row r="16" spans="2:17" x14ac:dyDescent="0.2">
      <c r="B16" s="77" t="s">
        <v>55</v>
      </c>
      <c r="C16" s="78">
        <f>SUBTOTAL(109,Debts202530354045[Balance])</f>
        <v>0</v>
      </c>
      <c r="D16" s="79" t="e">
        <f>SUMPRODUCT(Debts202530354045[Balance],Debts202530354045[Interest Rate])/SUM(Debts202530354045[Balance])</f>
        <v>#DIV/0!</v>
      </c>
      <c r="E16" s="78">
        <f>SUBTOTAL(109,Debts202530354045[Monthly Payment])</f>
        <v>0</v>
      </c>
      <c r="F16" s="79">
        <f>SUBTOTAL(109,Debts202530354045[% of Total])</f>
        <v>0</v>
      </c>
    </row>
    <row r="17" spans="2:6" ht="24" customHeight="1" x14ac:dyDescent="0.2"/>
    <row r="18" spans="2:6" s="58" customFormat="1" ht="19.5" x14ac:dyDescent="0.25">
      <c r="B18" s="64" t="s">
        <v>146</v>
      </c>
    </row>
    <row r="19" spans="2:6" s="58" customFormat="1" x14ac:dyDescent="0.2">
      <c r="B19" s="58" t="s">
        <v>167</v>
      </c>
    </row>
    <row r="20" spans="2:6" s="58" customFormat="1" x14ac:dyDescent="0.2">
      <c r="B20" s="58" t="s">
        <v>168</v>
      </c>
    </row>
    <row r="22" spans="2:6" x14ac:dyDescent="0.2">
      <c r="B22" s="69" t="s">
        <v>141</v>
      </c>
      <c r="C22" s="114" t="s">
        <v>140</v>
      </c>
    </row>
    <row r="23" spans="2:6" x14ac:dyDescent="0.2">
      <c r="B23" s="56" t="s">
        <v>145</v>
      </c>
      <c r="C23" s="113">
        <f>'PERSONAL BUDGET'!J109</f>
        <v>0</v>
      </c>
      <c r="E23" s="84"/>
    </row>
    <row r="24" spans="2:6" ht="24" customHeight="1" x14ac:dyDescent="0.2">
      <c r="F24" s="57" t="str">
        <f>IF(C28&gt;0, C28/SUM($C$8:$C$28), "")</f>
        <v/>
      </c>
    </row>
    <row r="25" spans="2:6" s="58" customFormat="1" ht="19.5" x14ac:dyDescent="0.25">
      <c r="B25" s="64" t="s">
        <v>144</v>
      </c>
    </row>
    <row r="26" spans="2:6" s="58" customFormat="1" x14ac:dyDescent="0.2">
      <c r="B26" s="58" t="s">
        <v>143</v>
      </c>
    </row>
    <row r="27" spans="2:6" s="58" customFormat="1" x14ac:dyDescent="0.2">
      <c r="B27" s="58" t="s">
        <v>142</v>
      </c>
    </row>
    <row r="29" spans="2:6" s="63" customFormat="1" x14ac:dyDescent="0.2">
      <c r="B29" s="68" t="s">
        <v>141</v>
      </c>
      <c r="C29" s="59" t="s">
        <v>140</v>
      </c>
      <c r="D29" s="67"/>
      <c r="E29" s="66"/>
      <c r="F29" s="67"/>
    </row>
    <row r="30" spans="2:6" s="63" customFormat="1" x14ac:dyDescent="0.2">
      <c r="B30" s="63" t="s">
        <v>139</v>
      </c>
      <c r="C30" s="84">
        <f>Debts202530354045[[#Totals],[Balance]]</f>
        <v>0</v>
      </c>
      <c r="D30" s="67"/>
      <c r="E30" s="66"/>
      <c r="F30" s="67"/>
    </row>
    <row r="31" spans="2:6" s="63" customFormat="1" x14ac:dyDescent="0.2">
      <c r="B31" s="63" t="s">
        <v>138</v>
      </c>
      <c r="C31" s="67" t="e">
        <f>Debts202530354045[[#Totals],[Interest Rate]]</f>
        <v>#DIV/0!</v>
      </c>
      <c r="D31" s="67"/>
      <c r="E31" s="66"/>
      <c r="F31" s="67"/>
    </row>
    <row r="32" spans="2:6" x14ac:dyDescent="0.2">
      <c r="B32" s="63" t="s">
        <v>137</v>
      </c>
      <c r="C32" s="66" t="e">
        <f>C30*C31/12</f>
        <v>#DIV/0!</v>
      </c>
      <c r="D32" s="67"/>
      <c r="E32" s="66"/>
      <c r="F32" s="67"/>
    </row>
    <row r="33" spans="2:3" x14ac:dyDescent="0.2">
      <c r="B33" s="63"/>
      <c r="C33" s="66"/>
    </row>
    <row r="34" spans="2:3" x14ac:dyDescent="0.2">
      <c r="B34" s="63" t="s">
        <v>136</v>
      </c>
      <c r="C34" s="66">
        <f>Debts202530354045[[#Totals],[Monthly Payment]]</f>
        <v>0</v>
      </c>
    </row>
    <row r="35" spans="2:3" x14ac:dyDescent="0.2">
      <c r="B35" s="63" t="s">
        <v>135</v>
      </c>
      <c r="C35" s="66">
        <f>Budget222732374247[Amount]</f>
        <v>0</v>
      </c>
    </row>
    <row r="36" spans="2:3" x14ac:dyDescent="0.2">
      <c r="B36" s="63"/>
      <c r="C36" s="66"/>
    </row>
    <row r="37" spans="2:3" ht="12.95" customHeight="1" x14ac:dyDescent="0.2">
      <c r="B37" s="63" t="s">
        <v>134</v>
      </c>
      <c r="C37" s="66">
        <f>C35-C34</f>
        <v>0</v>
      </c>
    </row>
    <row r="40" spans="2:3" ht="12.95" customHeight="1" x14ac:dyDescent="0.35">
      <c r="C40" s="65"/>
    </row>
    <row r="67" spans="2:6" s="58" customFormat="1" ht="19.5" x14ac:dyDescent="0.25">
      <c r="B67" s="64" t="s">
        <v>133</v>
      </c>
    </row>
    <row r="68" spans="2:6" s="58" customFormat="1" x14ac:dyDescent="0.2">
      <c r="B68" s="58" t="s">
        <v>161</v>
      </c>
    </row>
    <row r="69" spans="2:6" x14ac:dyDescent="0.2">
      <c r="C69" s="56"/>
      <c r="D69" s="56"/>
    </row>
    <row r="70" spans="2:6" x14ac:dyDescent="0.2">
      <c r="B70" s="63" t="s">
        <v>132</v>
      </c>
      <c r="C70" s="56"/>
      <c r="D70" s="56"/>
    </row>
    <row r="71" spans="2:6" ht="5.0999999999999996" customHeight="1" x14ac:dyDescent="0.2">
      <c r="C71" s="56"/>
      <c r="D71" s="56"/>
    </row>
    <row r="72" spans="2:6" x14ac:dyDescent="0.2">
      <c r="B72" s="61" t="s">
        <v>130</v>
      </c>
      <c r="C72" s="59" t="s">
        <v>129</v>
      </c>
      <c r="D72" s="60" t="s">
        <v>128</v>
      </c>
      <c r="E72" s="59" t="s">
        <v>127</v>
      </c>
      <c r="F72" s="59" t="s">
        <v>126</v>
      </c>
    </row>
    <row r="73" spans="2:6" x14ac:dyDescent="0.2">
      <c r="B73" s="61" t="str">
        <f>INDEX(Debts202530354045[[Creditor]:[Monthly Payment]], MATCH(MAX(Debts202530354045[Interest Rate]),Debts202530354045[Interest Rate], 0), 1)</f>
        <v>Paypal Credit Card</v>
      </c>
      <c r="C73" s="59">
        <f>INDEX(Debts202530354045[[Creditor]:[Monthly Payment]], MATCH(MAX(Debts202530354045[Interest Rate]),Debts202530354045[Interest Rate], 0), 2)</f>
        <v>0</v>
      </c>
      <c r="D73" s="60">
        <f>INDEX(Debts202530354045[[Creditor]:[Monthly Payment]], MATCH(MAX(Debts202530354045[Interest Rate]),Debts202530354045[Interest Rate], 0), 3)</f>
        <v>0</v>
      </c>
      <c r="E73" s="59">
        <f>INDEX(Debts202530354045[[Creditor]:[Monthly Payment]], MATCH(MAX(Debts202530354045[Interest Rate]),Debts202530354045[Interest Rate], 0), 4)</f>
        <v>0</v>
      </c>
      <c r="F73" s="59">
        <f>INDEX(Debts202530354045[[Creditor]:[Monthly Payment]], MATCH(MAX(Debts202530354045[Interest Rate]),Debts202530354045[Interest Rate], 0), 4) + $C$37</f>
        <v>0</v>
      </c>
    </row>
    <row r="74" spans="2:6" x14ac:dyDescent="0.2">
      <c r="B74" s="61"/>
      <c r="C74" s="59"/>
      <c r="D74" s="60"/>
      <c r="E74" s="59"/>
      <c r="F74" s="59"/>
    </row>
    <row r="75" spans="2:6" x14ac:dyDescent="0.2">
      <c r="B75" s="63" t="s">
        <v>131</v>
      </c>
      <c r="C75" s="62"/>
      <c r="D75" s="62"/>
      <c r="E75" s="59"/>
      <c r="F75" s="60"/>
    </row>
    <row r="76" spans="2:6" ht="5.0999999999999996" customHeight="1" x14ac:dyDescent="0.2">
      <c r="C76" s="62"/>
      <c r="D76" s="62"/>
      <c r="E76" s="59"/>
      <c r="F76" s="60"/>
    </row>
    <row r="77" spans="2:6" x14ac:dyDescent="0.2">
      <c r="B77" s="61" t="s">
        <v>130</v>
      </c>
      <c r="C77" s="59" t="s">
        <v>129</v>
      </c>
      <c r="D77" s="60" t="s">
        <v>128</v>
      </c>
      <c r="E77" s="59" t="s">
        <v>127</v>
      </c>
      <c r="F77" s="59" t="s">
        <v>126</v>
      </c>
    </row>
    <row r="78" spans="2:6" x14ac:dyDescent="0.2">
      <c r="B78" s="61" t="str">
        <f>INDEX(Debts202530354045[[Creditor]:[Monthly Payment]], MATCH(MIN(Debts202530354045[Balance]),Debts202530354045[Balance], 0), 1)</f>
        <v>Paypal Credit Card</v>
      </c>
      <c r="C78" s="59">
        <f>INDEX(Debts202530354045[[Creditor]:[Monthly Payment]], MATCH(MIN(Debts202530354045[Balance]),Debts202530354045[Balance], 0), 2)</f>
        <v>0</v>
      </c>
      <c r="D78" s="60">
        <f>INDEX(Debts202530354045[[Creditor]:[Monthly Payment]], MATCH(MIN(Debts202530354045[Balance]),Debts202530354045[Balance], 0), 3)</f>
        <v>0</v>
      </c>
      <c r="E78" s="59">
        <f>INDEX(Debts202530354045[[Creditor]:[Monthly Payment]], MATCH(MIN(Debts202530354045[Balance]),Debts202530354045[Balance], 0), 4)</f>
        <v>0</v>
      </c>
      <c r="F78" s="59">
        <f>INDEX(Debts202530354045[[Creditor]:[Monthly Payment]], MATCH(MIN(Debts202530354045[Balance]),Debts202530354045[Balance], 0), 4) + $C$37</f>
        <v>0</v>
      </c>
    </row>
    <row r="82" spans="2:3" x14ac:dyDescent="0.2">
      <c r="B82" s="63" t="s">
        <v>163</v>
      </c>
      <c r="C82" s="66"/>
    </row>
    <row r="83" spans="2:3" x14ac:dyDescent="0.2">
      <c r="B83" s="63"/>
      <c r="C83" s="66"/>
    </row>
    <row r="84" spans="2:3" x14ac:dyDescent="0.2">
      <c r="B84" s="63" t="s">
        <v>162</v>
      </c>
      <c r="C84" s="66"/>
    </row>
  </sheetData>
  <conditionalFormatting sqref="C37">
    <cfRule type="cellIs" dxfId="224" priority="1" operator="lessThan">
      <formula>0</formula>
    </cfRule>
  </conditionalFormatting>
  <pageMargins left="0.7" right="0.7" top="0.75" bottom="0.75" header="0.5" footer="0.5"/>
  <pageSetup orientation="landscape" horizontalDpi="4294967292" verticalDpi="4294967292"/>
  <drawing r:id="rId1"/>
  <tableParts count="5"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TM04035483</Templat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START</vt:lpstr>
      <vt:lpstr>PERSONAL BUDGET</vt:lpstr>
      <vt:lpstr>Jan Debt Freedom Worksheet</vt:lpstr>
      <vt:lpstr>FEBRUARY Debt Freedom</vt:lpstr>
      <vt:lpstr>MARCH Debt Freedom </vt:lpstr>
      <vt:lpstr>APRIL Debt Freedom</vt:lpstr>
      <vt:lpstr>May Debt Freedom</vt:lpstr>
      <vt:lpstr>JUNE Debt Freedom</vt:lpstr>
      <vt:lpstr>JULY Debt Freedom</vt:lpstr>
      <vt:lpstr>AUGUST Debt Freedom</vt:lpstr>
      <vt:lpstr>SEPTEMBER Debt Freedom</vt:lpstr>
      <vt:lpstr>OCTOBER Debt Freedom</vt:lpstr>
      <vt:lpstr>NOVEMBER Debt Freedom</vt:lpstr>
      <vt:lpstr>DECEMBER Debt Freedom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Mangolein Koza</dc:creator>
  <cp:lastModifiedBy>Mangolein Koza</cp:lastModifiedBy>
  <dcterms:created xsi:type="dcterms:W3CDTF">2018-06-21T11:23:21Z</dcterms:created>
  <dcterms:modified xsi:type="dcterms:W3CDTF">2022-12-28T20:11:35Z</dcterms:modified>
</cp:coreProperties>
</file>